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codeName="ThisWorkbook" defaultThemeVersion="124226"/>
  <bookViews>
    <workbookView xWindow="60" yWindow="15" windowWidth="9690" windowHeight="5640" firstSheet="1" activeTab="1"/>
  </bookViews>
  <sheets>
    <sheet name="Information" sheetId="5" r:id="rId1"/>
    <sheet name="WAIS-IV" sheetId="1" r:id="rId2"/>
    <sheet name="Shares Abilities" sheetId="3" r:id="rId3"/>
    <sheet name="GF-GC" sheetId="8" r:id="rId4"/>
    <sheet name="Ways to Sort" sheetId="7" r:id="rId5"/>
    <sheet name="Subtest Graph" sheetId="2" r:id="rId6"/>
    <sheet name="Cult. &amp; Linq." sheetId="6" r:id="rId7"/>
    <sheet name="Order of Admin" sheetId="4" r:id="rId8"/>
  </sheets>
  <externalReferences>
    <externalReference r:id="rId9"/>
    <externalReference r:id="rId10"/>
    <externalReference r:id="rId11"/>
  </externalReferences>
  <definedNames>
    <definedName name="_____see95">'[1]t&amp;B for fsiq'!$A$22</definedName>
    <definedName name="____see95">'[1]t&amp;B for fsiq'!$A$22</definedName>
    <definedName name="___see95">'[1]t&amp;B for fsiq'!$A$22</definedName>
    <definedName name="__see95">'[1]t&amp;B for fsiq'!$A$22</definedName>
    <definedName name="_see95">'[2]t&amp;B for fsiq'!$A$22</definedName>
    <definedName name="AR">'WAIS-IV'!$F$17</definedName>
    <definedName name="bd">'WAIS-IV'!$F$12</definedName>
    <definedName name="bdnt">'WAIS-IV'!$F$30</definedName>
    <definedName name="CA">'WAIS-IV'!$F$25</definedName>
    <definedName name="CD">'WAIS-IV'!$F$21</definedName>
    <definedName name="COMP">'WAIS-IV'!$F$24</definedName>
    <definedName name="compmean">'WAIS-IV'!$T$113</definedName>
    <definedName name="DS">'WAIS-IV'!$F$14</definedName>
    <definedName name="dsb">'WAIS-IV'!$F$32</definedName>
    <definedName name="dsf">'WAIS-IV'!$F$31</definedName>
    <definedName name="dssq">'WAIS-IV'!$F$33</definedName>
    <definedName name="fsiq">'WAIS-IV'!$H$50</definedName>
    <definedName name="FW">'WAIS-IV'!$F$23</definedName>
    <definedName name="gai2rel">'[3]TB GAI2'!$A$17</definedName>
    <definedName name="gai2see">'[3]TB GAI2'!$A$25</definedName>
    <definedName name="gai2sumr">'[3]TB GAI2'!$H$11</definedName>
    <definedName name="gair">'[3]TB for GAI'!$A$19</definedName>
    <definedName name="gaisumr">'[3]TB for GAI'!$I$15</definedName>
    <definedName name="IN">'WAIS-IV'!$F$20</definedName>
    <definedName name="ldsb">'WAIS-IV'!$G$35</definedName>
    <definedName name="ldsf">'WAIS-IV'!$G$34</definedName>
    <definedName name="ldssq">'WAIS-IV'!$G$36</definedName>
    <definedName name="llns">'WAIS-IV'!$G$37</definedName>
    <definedName name="lns">'WAIS-IV'!$F$22</definedName>
    <definedName name="MR">'WAIS-IV'!$F$15</definedName>
    <definedName name="n">'[2]t&amp;B for subs'!$A$32</definedName>
    <definedName name="PCm">'WAIS-IV'!$F$26</definedName>
    <definedName name="pcrank">'[2]T&amp;B DWI'!$E$66:$BJ$67</definedName>
    <definedName name="poi">'WAIS-IV'!$H$47</definedName>
    <definedName name="_xlnm.Print_Area" localSheetId="6">'Cult. &amp; Linq.'!$B$3:$L$27</definedName>
    <definedName name="_xlnm.Print_Area" localSheetId="3">'GF-GC'!$A$2:$E$38</definedName>
    <definedName name="_xlnm.Print_Area" localSheetId="1">'WAIS-IV'!$A$1:$R$249</definedName>
    <definedName name="_xlnm.Print_Area" localSheetId="4">'Ways to Sort'!$A$1:$T$38</definedName>
    <definedName name="psi">'WAIS-IV'!$H$49</definedName>
    <definedName name="rel">'[2]t&amp;B for fsiq'!$A$14</definedName>
    <definedName name="sim">'WAIS-IV'!$F$13</definedName>
    <definedName name="SS">'WAIS-IV'!$F$18</definedName>
    <definedName name="sumc">'[2]t&amp;B for fsiq'!$I$12</definedName>
    <definedName name="sumcc">'[2]T&amp;B DWI2'!$F$9</definedName>
    <definedName name="sumcor">'[2]t&amp;B for vci+wmi'!$J$13</definedName>
    <definedName name="sumsem" localSheetId="4">[3]CVs!$F$18</definedName>
    <definedName name="sumsem">'WAIS-IV'!$F$18</definedName>
    <definedName name="sumsem10">[3]CVs!$F$34</definedName>
    <definedName name="vci">'WAIS-IV'!$H$46</definedName>
    <definedName name="VOC">'WAIS-IV'!$F$16</definedName>
    <definedName name="VP">'WAIS-IV'!$F$19</definedName>
    <definedName name="wmi">'WAIS-IV'!$H$48</definedName>
  </definedNames>
  <calcPr calcId="114210"/>
</workbook>
</file>

<file path=xl/calcChain.xml><?xml version="1.0" encoding="utf-8"?>
<calcChain xmlns="http://schemas.openxmlformats.org/spreadsheetml/2006/main">
  <c r="J20" i="6"/>
  <c r="J33"/>
  <c r="J19"/>
  <c r="K32"/>
  <c r="J18"/>
  <c r="J31"/>
  <c r="J17"/>
  <c r="K30"/>
  <c r="J8"/>
  <c r="K29"/>
  <c r="K31"/>
  <c r="K33"/>
  <c r="K35"/>
  <c r="H20"/>
  <c r="M20"/>
  <c r="H19"/>
  <c r="M19"/>
  <c r="H18"/>
  <c r="M18"/>
  <c r="H17"/>
  <c r="M17"/>
  <c r="F18"/>
  <c r="M21"/>
  <c r="M22"/>
  <c r="M23"/>
  <c r="M24"/>
  <c r="M25"/>
  <c r="O25"/>
  <c r="N17"/>
  <c r="N18"/>
  <c r="N19"/>
  <c r="N20"/>
  <c r="N21"/>
  <c r="N22"/>
  <c r="N23"/>
  <c r="N24"/>
  <c r="N25"/>
  <c r="P25"/>
  <c r="L18"/>
  <c r="L19"/>
  <c r="H13"/>
  <c r="M13"/>
  <c r="N13"/>
  <c r="L13"/>
  <c r="L14"/>
  <c r="F10"/>
  <c r="J29"/>
  <c r="J30"/>
  <c r="J32"/>
  <c r="J35"/>
  <c r="J23"/>
  <c r="J24"/>
  <c r="F9"/>
  <c r="F8"/>
  <c r="F7"/>
  <c r="U159" i="1"/>
  <c r="U158"/>
  <c r="D37" i="8"/>
  <c r="D33"/>
  <c r="D32"/>
  <c r="D28"/>
  <c r="D27"/>
  <c r="D26"/>
  <c r="D22"/>
  <c r="D20"/>
  <c r="D19"/>
  <c r="D21"/>
  <c r="D9"/>
  <c r="D8"/>
  <c r="D7"/>
  <c r="D6"/>
  <c r="D15"/>
  <c r="D14"/>
  <c r="D13"/>
  <c r="N233" i="1"/>
  <c r="V258"/>
  <c r="V257"/>
  <c r="V256"/>
  <c r="V270"/>
  <c r="V269"/>
  <c r="V268"/>
  <c r="V267"/>
  <c r="V266"/>
  <c r="V265"/>
  <c r="V264"/>
  <c r="V263"/>
  <c r="V262"/>
  <c r="V261"/>
  <c r="V260"/>
  <c r="V259"/>
  <c r="V255"/>
  <c r="V254"/>
  <c r="V253"/>
  <c r="M37" i="7"/>
  <c r="J37"/>
  <c r="L37"/>
  <c r="G37"/>
  <c r="I37"/>
  <c r="F37"/>
  <c r="D37"/>
  <c r="C37"/>
  <c r="N33"/>
  <c r="M33"/>
  <c r="L33"/>
  <c r="K33"/>
  <c r="J33"/>
  <c r="I33"/>
  <c r="H33"/>
  <c r="G33"/>
  <c r="E33"/>
  <c r="C33"/>
  <c r="G12"/>
  <c r="R29"/>
  <c r="P29"/>
  <c r="O29"/>
  <c r="N29"/>
  <c r="M29"/>
  <c r="K29"/>
  <c r="I29"/>
  <c r="H29"/>
  <c r="F29"/>
  <c r="E29"/>
  <c r="D29"/>
  <c r="C29"/>
  <c r="T25"/>
  <c r="S25"/>
  <c r="R25"/>
  <c r="Q25"/>
  <c r="I16"/>
  <c r="P25"/>
  <c r="N25"/>
  <c r="M25"/>
  <c r="K25"/>
  <c r="J25"/>
  <c r="I25"/>
  <c r="G25"/>
  <c r="F25"/>
  <c r="D25"/>
  <c r="C25"/>
  <c r="R21"/>
  <c r="Q21"/>
  <c r="P21"/>
  <c r="N21"/>
  <c r="M21"/>
  <c r="K21"/>
  <c r="J21"/>
  <c r="I21"/>
  <c r="G21"/>
  <c r="F21"/>
  <c r="D21"/>
  <c r="C21"/>
  <c r="T16"/>
  <c r="S16"/>
  <c r="R16"/>
  <c r="P16"/>
  <c r="O16"/>
  <c r="N16"/>
  <c r="L16"/>
  <c r="K16"/>
  <c r="J16"/>
  <c r="H16"/>
  <c r="F16"/>
  <c r="E16"/>
  <c r="D16"/>
  <c r="C16"/>
  <c r="R12"/>
  <c r="Q12"/>
  <c r="P12"/>
  <c r="O12"/>
  <c r="N12"/>
  <c r="M12"/>
  <c r="K12"/>
  <c r="J12"/>
  <c r="I12"/>
  <c r="H12"/>
  <c r="F12"/>
  <c r="E12"/>
  <c r="D12"/>
  <c r="C12"/>
  <c r="BI338" i="1"/>
  <c r="BJ338"/>
  <c r="BK338"/>
  <c r="BL338"/>
  <c r="BM338"/>
  <c r="BN338"/>
  <c r="BO338"/>
  <c r="BP338"/>
  <c r="BQ338"/>
  <c r="BR338"/>
  <c r="BS338"/>
  <c r="BT338"/>
  <c r="BU338"/>
  <c r="BV338"/>
  <c r="BW338"/>
  <c r="BX338"/>
  <c r="BY338"/>
  <c r="BZ338"/>
  <c r="CA338"/>
  <c r="CB338"/>
  <c r="CC338"/>
  <c r="CD338"/>
  <c r="CE338"/>
  <c r="CF338"/>
  <c r="CG338"/>
  <c r="CH338"/>
  <c r="CI338"/>
  <c r="CJ338"/>
  <c r="CK338"/>
  <c r="CL338"/>
  <c r="CM338"/>
  <c r="AE13"/>
  <c r="S8" i="7"/>
  <c r="R8"/>
  <c r="Q8"/>
  <c r="P8"/>
  <c r="O8"/>
  <c r="N8"/>
  <c r="M8"/>
  <c r="L8"/>
  <c r="J8"/>
  <c r="I8"/>
  <c r="H8"/>
  <c r="G8"/>
  <c r="F8"/>
  <c r="E8"/>
  <c r="D8"/>
  <c r="C8"/>
  <c r="D4"/>
  <c r="R4"/>
  <c r="Q4"/>
  <c r="P4"/>
  <c r="O4"/>
  <c r="N4"/>
  <c r="M4"/>
  <c r="L4"/>
  <c r="K4"/>
  <c r="J4"/>
  <c r="I4"/>
  <c r="H4"/>
  <c r="G4"/>
  <c r="F4"/>
  <c r="E4"/>
  <c r="M6" i="6"/>
  <c r="H30"/>
  <c r="W161" i="1"/>
  <c r="N133"/>
  <c r="N132"/>
  <c r="N129"/>
  <c r="N128"/>
  <c r="N124"/>
  <c r="N123"/>
  <c r="N122"/>
  <c r="N119"/>
  <c r="N117"/>
  <c r="N118"/>
  <c r="AE113"/>
  <c r="AE112"/>
  <c r="AE111"/>
  <c r="AE110"/>
  <c r="AG113"/>
  <c r="AG112"/>
  <c r="AG111"/>
  <c r="AG110"/>
  <c r="AF113"/>
  <c r="AF112"/>
  <c r="AF111"/>
  <c r="AF110"/>
  <c r="F245"/>
  <c r="F246"/>
  <c r="F244"/>
  <c r="F243"/>
  <c r="F242"/>
  <c r="F241"/>
  <c r="N243"/>
  <c r="N242"/>
  <c r="N241"/>
  <c r="G267"/>
  <c r="G266"/>
  <c r="G264"/>
  <c r="G263"/>
  <c r="N237"/>
  <c r="N236"/>
  <c r="N235"/>
  <c r="N234"/>
  <c r="F236"/>
  <c r="F235"/>
  <c r="F234"/>
  <c r="F233"/>
  <c r="G261"/>
  <c r="G260"/>
  <c r="G259"/>
  <c r="G258"/>
  <c r="G257"/>
  <c r="G256"/>
  <c r="G253"/>
  <c r="G254"/>
  <c r="G252"/>
  <c r="L213"/>
  <c r="L208"/>
  <c r="L211"/>
  <c r="AE208"/>
  <c r="L205"/>
  <c r="L202"/>
  <c r="L200"/>
  <c r="L195"/>
  <c r="L193"/>
  <c r="AE193"/>
  <c r="L191"/>
  <c r="AC191"/>
  <c r="L189"/>
  <c r="L186"/>
  <c r="L178"/>
  <c r="L180"/>
  <c r="L175"/>
  <c r="L172"/>
  <c r="T170"/>
  <c r="W164"/>
  <c r="X164"/>
  <c r="W163"/>
  <c r="W162"/>
  <c r="X162"/>
  <c r="X161"/>
  <c r="K161"/>
  <c r="W160"/>
  <c r="X160"/>
  <c r="U160"/>
  <c r="V160"/>
  <c r="C160"/>
  <c r="U161"/>
  <c r="U164"/>
  <c r="V164"/>
  <c r="C164"/>
  <c r="U163"/>
  <c r="U162"/>
  <c r="V162"/>
  <c r="C162"/>
  <c r="V163"/>
  <c r="C163"/>
  <c r="X163"/>
  <c r="V158"/>
  <c r="C158"/>
  <c r="W158"/>
  <c r="W38"/>
  <c r="F130"/>
  <c r="F129"/>
  <c r="F128"/>
  <c r="F134"/>
  <c r="F133"/>
  <c r="F132"/>
  <c r="F126"/>
  <c r="F125"/>
  <c r="F124"/>
  <c r="F123"/>
  <c r="F122"/>
  <c r="F120"/>
  <c r="F119"/>
  <c r="F118"/>
  <c r="F117"/>
  <c r="AF39"/>
  <c r="AE39"/>
  <c r="AF38"/>
  <c r="AE38"/>
  <c r="AF37"/>
  <c r="AE37"/>
  <c r="AE41"/>
  <c r="AC39"/>
  <c r="AB39"/>
  <c r="AC38"/>
  <c r="AC37"/>
  <c r="AB38"/>
  <c r="AB37"/>
  <c r="D93"/>
  <c r="Z43"/>
  <c r="Y43"/>
  <c r="Z40"/>
  <c r="Y40"/>
  <c r="Y39"/>
  <c r="Y38"/>
  <c r="Y37"/>
  <c r="V43"/>
  <c r="V39"/>
  <c r="V38"/>
  <c r="V37"/>
  <c r="W37"/>
  <c r="W39"/>
  <c r="W43"/>
  <c r="Z37"/>
  <c r="Z38"/>
  <c r="Z39"/>
  <c r="N5"/>
  <c r="U5"/>
  <c r="V5"/>
  <c r="W5"/>
  <c r="Y6"/>
  <c r="AA6"/>
  <c r="X6"/>
  <c r="T8"/>
  <c r="U8"/>
  <c r="U12"/>
  <c r="H12"/>
  <c r="L12"/>
  <c r="U13"/>
  <c r="U17"/>
  <c r="K17"/>
  <c r="U20"/>
  <c r="U24"/>
  <c r="G24"/>
  <c r="U26"/>
  <c r="H26"/>
  <c r="L13"/>
  <c r="U15"/>
  <c r="H15"/>
  <c r="U19"/>
  <c r="H19"/>
  <c r="U22"/>
  <c r="U14"/>
  <c r="U16"/>
  <c r="K16"/>
  <c r="U18"/>
  <c r="K18"/>
  <c r="U21"/>
  <c r="U23"/>
  <c r="K23"/>
  <c r="U25"/>
  <c r="AG13"/>
  <c r="L14"/>
  <c r="L15"/>
  <c r="L16"/>
  <c r="L17"/>
  <c r="L18"/>
  <c r="L19"/>
  <c r="L20"/>
  <c r="L21"/>
  <c r="L22"/>
  <c r="L23"/>
  <c r="L24"/>
  <c r="L25"/>
  <c r="L26"/>
  <c r="L30"/>
  <c r="L31"/>
  <c r="L32"/>
  <c r="L33"/>
  <c r="V46"/>
  <c r="W46"/>
  <c r="V47"/>
  <c r="W47"/>
  <c r="V48"/>
  <c r="W48"/>
  <c r="AC48"/>
  <c r="V49"/>
  <c r="W49"/>
  <c r="V50"/>
  <c r="W50"/>
  <c r="U93"/>
  <c r="U95"/>
  <c r="D94"/>
  <c r="AF119"/>
  <c r="AG119"/>
  <c r="AH119"/>
  <c r="AI119"/>
  <c r="AJ119"/>
  <c r="AK119"/>
  <c r="AF120"/>
  <c r="AG120"/>
  <c r="AH120"/>
  <c r="AI120"/>
  <c r="AJ120"/>
  <c r="AK120"/>
  <c r="AF121"/>
  <c r="AG121"/>
  <c r="AH121"/>
  <c r="AI121"/>
  <c r="AJ121"/>
  <c r="AK121"/>
  <c r="L130"/>
  <c r="W146"/>
  <c r="X146"/>
  <c r="K146"/>
  <c r="K151"/>
  <c r="W154"/>
  <c r="X154"/>
  <c r="K154"/>
  <c r="X158"/>
  <c r="V159"/>
  <c r="C159"/>
  <c r="W159"/>
  <c r="V161"/>
  <c r="C161"/>
  <c r="AC184"/>
  <c r="AC185"/>
  <c r="AE185"/>
  <c r="AC186"/>
  <c r="AE186"/>
  <c r="AC188"/>
  <c r="AE188"/>
  <c r="AC189"/>
  <c r="AE189"/>
  <c r="AC190"/>
  <c r="AE190"/>
  <c r="AC193"/>
  <c r="AC194"/>
  <c r="AC195"/>
  <c r="AE195"/>
  <c r="AC197"/>
  <c r="AE197"/>
  <c r="AC198"/>
  <c r="AE198"/>
  <c r="AC200"/>
  <c r="AE200"/>
  <c r="AC201"/>
  <c r="AE201"/>
  <c r="AC202"/>
  <c r="AC203"/>
  <c r="AE203"/>
  <c r="AE204"/>
  <c r="AC204"/>
  <c r="AC205"/>
  <c r="AE205"/>
  <c r="AC206"/>
  <c r="AE206"/>
  <c r="AC207"/>
  <c r="AE207"/>
  <c r="AC208"/>
  <c r="AC209"/>
  <c r="AE209"/>
  <c r="AC210"/>
  <c r="AE210"/>
  <c r="AC211"/>
  <c r="AE211"/>
  <c r="AC213"/>
  <c r="AC214"/>
  <c r="AE214"/>
  <c r="AC215"/>
  <c r="AE215"/>
  <c r="AC216"/>
  <c r="AE216"/>
  <c r="AC217"/>
  <c r="AE217"/>
  <c r="AC218"/>
  <c r="AE218"/>
  <c r="AC219"/>
  <c r="AE219"/>
  <c r="AC220"/>
  <c r="AE220"/>
  <c r="AC221"/>
  <c r="AE221"/>
  <c r="AC222"/>
  <c r="AE222"/>
  <c r="AC223"/>
  <c r="AE223"/>
  <c r="AC224"/>
  <c r="AE224"/>
  <c r="AW332"/>
  <c r="AX332"/>
  <c r="K371"/>
  <c r="V371"/>
  <c r="AG371"/>
  <c r="K372"/>
  <c r="V372"/>
  <c r="AG372"/>
  <c r="K373"/>
  <c r="V373"/>
  <c r="AG373"/>
  <c r="K374"/>
  <c r="V374"/>
  <c r="AG374"/>
  <c r="K375"/>
  <c r="V375"/>
  <c r="AG375"/>
  <c r="K376"/>
  <c r="V376"/>
  <c r="AG376"/>
  <c r="K377"/>
  <c r="V377"/>
  <c r="AG377"/>
  <c r="K378"/>
  <c r="V378"/>
  <c r="AG378"/>
  <c r="K379"/>
  <c r="V379"/>
  <c r="AG379"/>
  <c r="K380"/>
  <c r="V380"/>
  <c r="AG380"/>
  <c r="K381"/>
  <c r="V381"/>
  <c r="AG381"/>
  <c r="K382"/>
  <c r="V382"/>
  <c r="AG382"/>
  <c r="K383"/>
  <c r="V383"/>
  <c r="AG383"/>
  <c r="K26"/>
  <c r="U148"/>
  <c r="U146"/>
  <c r="V146"/>
  <c r="C146"/>
  <c r="AE43"/>
  <c r="U144"/>
  <c r="U142"/>
  <c r="V142"/>
  <c r="C142"/>
  <c r="W142"/>
  <c r="X142"/>
  <c r="K142"/>
  <c r="U152"/>
  <c r="U154"/>
  <c r="U140"/>
  <c r="V140"/>
  <c r="C140"/>
  <c r="U138"/>
  <c r="W140"/>
  <c r="X140"/>
  <c r="K140"/>
  <c r="AB47"/>
  <c r="I126"/>
  <c r="U150"/>
  <c r="Z5"/>
  <c r="U103"/>
  <c r="U105"/>
  <c r="D104"/>
  <c r="W152"/>
  <c r="X152"/>
  <c r="K152"/>
  <c r="W148"/>
  <c r="X148"/>
  <c r="K148"/>
  <c r="AD46"/>
  <c r="AH112"/>
  <c r="AH113"/>
  <c r="T234"/>
  <c r="W150"/>
  <c r="X150"/>
  <c r="K150"/>
  <c r="AA50"/>
  <c r="T235"/>
  <c r="W45"/>
  <c r="AF114"/>
  <c r="AG114"/>
  <c r="AE114"/>
  <c r="AH110"/>
  <c r="I120"/>
  <c r="I125"/>
  <c r="U233"/>
  <c r="T233"/>
  <c r="T236"/>
  <c r="AH111"/>
  <c r="AW334"/>
  <c r="W144"/>
  <c r="X144"/>
  <c r="K144"/>
  <c r="W138"/>
  <c r="X138"/>
  <c r="K138"/>
  <c r="W21"/>
  <c r="AA5"/>
  <c r="AA7"/>
  <c r="AA8"/>
  <c r="K164"/>
  <c r="K162"/>
  <c r="K163"/>
  <c r="W22"/>
  <c r="K13"/>
  <c r="AD50"/>
  <c r="AE50"/>
  <c r="W19"/>
  <c r="AX334"/>
  <c r="X159"/>
  <c r="K159"/>
  <c r="W20"/>
  <c r="K158"/>
  <c r="V138"/>
  <c r="C138"/>
  <c r="AB48"/>
  <c r="K160"/>
  <c r="H23"/>
  <c r="H28"/>
  <c r="Y13"/>
  <c r="I22"/>
  <c r="AC43"/>
  <c r="AA49"/>
  <c r="AA51"/>
  <c r="AE194"/>
  <c r="AF43"/>
  <c r="AD47"/>
  <c r="K83"/>
  <c r="AD49"/>
  <c r="AD51"/>
  <c r="M94"/>
  <c r="U94"/>
  <c r="D97"/>
  <c r="AB41"/>
  <c r="M104"/>
  <c r="Z45"/>
  <c r="U235"/>
  <c r="AE184"/>
  <c r="AG24"/>
  <c r="AE21"/>
  <c r="AE18"/>
  <c r="K12"/>
  <c r="AE19"/>
  <c r="AE23"/>
  <c r="AE20"/>
  <c r="AE22"/>
  <c r="AA19"/>
  <c r="AA17"/>
  <c r="AA18"/>
  <c r="AA20"/>
  <c r="G16"/>
  <c r="W23"/>
  <c r="N21"/>
  <c r="V150"/>
  <c r="C150"/>
  <c r="AB43"/>
  <c r="D103"/>
  <c r="AA47"/>
  <c r="L111"/>
  <c r="V144"/>
  <c r="C144"/>
  <c r="U236"/>
  <c r="U234"/>
  <c r="AE191"/>
  <c r="J18"/>
  <c r="I17"/>
  <c r="N18"/>
  <c r="K24"/>
  <c r="K22"/>
  <c r="AE17"/>
  <c r="K15"/>
  <c r="K25"/>
  <c r="J25"/>
  <c r="K14"/>
  <c r="I14"/>
  <c r="I34" i="6"/>
  <c r="H34"/>
  <c r="H31"/>
  <c r="I31"/>
  <c r="F30"/>
  <c r="G30"/>
  <c r="M8"/>
  <c r="N8"/>
  <c r="I30"/>
  <c r="U104" i="1"/>
  <c r="D107"/>
  <c r="N16"/>
  <c r="K19"/>
  <c r="X5"/>
  <c r="X7"/>
  <c r="N8"/>
  <c r="K21"/>
  <c r="J21"/>
  <c r="J28"/>
  <c r="AC13"/>
  <c r="G20"/>
  <c r="K20"/>
  <c r="G13"/>
  <c r="M7" i="6"/>
  <c r="N7"/>
  <c r="G29"/>
  <c r="F29"/>
  <c r="M9"/>
  <c r="N9"/>
  <c r="G31"/>
  <c r="F31"/>
  <c r="Y5" i="1"/>
  <c r="Y7"/>
  <c r="Y8"/>
  <c r="V148"/>
  <c r="C148"/>
  <c r="V152"/>
  <c r="C152"/>
  <c r="V154"/>
  <c r="C154"/>
  <c r="AD52"/>
  <c r="AE24"/>
  <c r="AG48"/>
  <c r="AH114"/>
  <c r="AE48"/>
  <c r="K112"/>
  <c r="K124"/>
  <c r="AA48"/>
  <c r="K111"/>
  <c r="I83"/>
  <c r="L112"/>
  <c r="K125"/>
  <c r="K6" i="3"/>
  <c r="K8"/>
  <c r="V235" i="1"/>
  <c r="D232"/>
  <c r="V234"/>
  <c r="P245"/>
  <c r="V233"/>
  <c r="P236"/>
  <c r="AE49"/>
  <c r="AF50"/>
  <c r="AG51"/>
  <c r="AG53"/>
  <c r="V236"/>
  <c r="I232"/>
  <c r="U78"/>
  <c r="D78"/>
  <c r="M78"/>
  <c r="I28"/>
  <c r="AA13"/>
  <c r="U224"/>
  <c r="AI47"/>
  <c r="M83"/>
  <c r="N25"/>
  <c r="AA24"/>
  <c r="N23"/>
  <c r="AA52"/>
  <c r="G28"/>
  <c r="U84"/>
  <c r="D83"/>
  <c r="K28"/>
  <c r="Z13"/>
  <c r="F50"/>
  <c r="N14"/>
  <c r="F48"/>
  <c r="I32" i="6"/>
  <c r="H32"/>
  <c r="F34"/>
  <c r="G34"/>
  <c r="H33"/>
  <c r="I33"/>
  <c r="N6"/>
  <c r="F49" i="1"/>
  <c r="U225"/>
  <c r="K118"/>
  <c r="U118"/>
  <c r="K123"/>
  <c r="N12"/>
  <c r="AC7"/>
  <c r="N6"/>
  <c r="N48"/>
  <c r="U48"/>
  <c r="D262"/>
  <c r="J48"/>
  <c r="D265"/>
  <c r="U49"/>
  <c r="N49"/>
  <c r="J49"/>
  <c r="D255"/>
  <c r="N47"/>
  <c r="J47"/>
  <c r="U47"/>
  <c r="J50"/>
  <c r="U66"/>
  <c r="N50"/>
  <c r="U50"/>
  <c r="W13"/>
  <c r="U222"/>
  <c r="AE54"/>
  <c r="K126"/>
  <c r="K122"/>
  <c r="U122"/>
  <c r="AG52"/>
  <c r="K119"/>
  <c r="V119"/>
  <c r="K120"/>
  <c r="V120"/>
  <c r="N130"/>
  <c r="N125"/>
  <c r="N120"/>
  <c r="N134"/>
  <c r="N126"/>
  <c r="L113"/>
  <c r="K117"/>
  <c r="D6" i="3"/>
  <c r="D8"/>
  <c r="I35" i="6"/>
  <c r="AI48" i="1"/>
  <c r="K113"/>
  <c r="P124"/>
  <c r="U82"/>
  <c r="AE202"/>
  <c r="U125"/>
  <c r="V125"/>
  <c r="U123"/>
  <c r="V123"/>
  <c r="AI52"/>
  <c r="H35" i="6"/>
  <c r="U83" i="1"/>
  <c r="AE213"/>
  <c r="V224"/>
  <c r="F223"/>
  <c r="W11"/>
  <c r="L371"/>
  <c r="W371"/>
  <c r="AH371"/>
  <c r="L6" i="3"/>
  <c r="L8"/>
  <c r="I6"/>
  <c r="I8"/>
  <c r="V118" i="1"/>
  <c r="L118"/>
  <c r="E7" i="3"/>
  <c r="E6"/>
  <c r="E8"/>
  <c r="V122" i="1"/>
  <c r="F46"/>
  <c r="H23" i="6"/>
  <c r="H24"/>
  <c r="H6" i="3"/>
  <c r="H8"/>
  <c r="Y49" i="1"/>
  <c r="X49"/>
  <c r="X48"/>
  <c r="Y48"/>
  <c r="Y47"/>
  <c r="X47"/>
  <c r="U117"/>
  <c r="F6" i="3"/>
  <c r="F8"/>
  <c r="U120" i="1"/>
  <c r="L120"/>
  <c r="F7" i="3"/>
  <c r="G6"/>
  <c r="G8"/>
  <c r="X50" i="1"/>
  <c r="Y50"/>
  <c r="U126"/>
  <c r="V126"/>
  <c r="P128"/>
  <c r="W128"/>
  <c r="AA128"/>
  <c r="P120"/>
  <c r="P134"/>
  <c r="P130"/>
  <c r="P126"/>
  <c r="X126"/>
  <c r="P125"/>
  <c r="L125"/>
  <c r="K7" i="3"/>
  <c r="K12"/>
  <c r="K19"/>
  <c r="K26"/>
  <c r="K27"/>
  <c r="K30"/>
  <c r="K35"/>
  <c r="V117" i="1"/>
  <c r="V83"/>
  <c r="D86"/>
  <c r="L123"/>
  <c r="I7" i="3"/>
  <c r="I12"/>
  <c r="I13"/>
  <c r="I18"/>
  <c r="I27"/>
  <c r="I30"/>
  <c r="I35"/>
  <c r="I40"/>
  <c r="P132" i="1"/>
  <c r="P122"/>
  <c r="X122"/>
  <c r="P119"/>
  <c r="P117"/>
  <c r="P118"/>
  <c r="W124"/>
  <c r="AA124"/>
  <c r="X124"/>
  <c r="P129"/>
  <c r="N6" i="3"/>
  <c r="N8"/>
  <c r="P133" i="1"/>
  <c r="Q6" i="3"/>
  <c r="Q8"/>
  <c r="P123" i="1"/>
  <c r="X123"/>
  <c r="L122"/>
  <c r="H7" i="3"/>
  <c r="H12"/>
  <c r="H17"/>
  <c r="H18"/>
  <c r="H23"/>
  <c r="H35"/>
  <c r="H41"/>
  <c r="W126" i="1"/>
  <c r="AA126"/>
  <c r="X128"/>
  <c r="L117"/>
  <c r="D7" i="3"/>
  <c r="D11"/>
  <c r="D13"/>
  <c r="D16"/>
  <c r="D21"/>
  <c r="D23"/>
  <c r="D24"/>
  <c r="D27"/>
  <c r="D33"/>
  <c r="L50" i="1"/>
  <c r="L47"/>
  <c r="L49"/>
  <c r="L48"/>
  <c r="W132"/>
  <c r="AA132"/>
  <c r="P6" i="3"/>
  <c r="P8"/>
  <c r="L126" i="1"/>
  <c r="L7" i="3"/>
  <c r="L10"/>
  <c r="L13"/>
  <c r="L17"/>
  <c r="L19"/>
  <c r="L34"/>
  <c r="L35"/>
  <c r="L40"/>
  <c r="W130" i="1"/>
  <c r="AA130"/>
  <c r="O6" i="3"/>
  <c r="O8"/>
  <c r="Q128" i="1"/>
  <c r="M7" i="3"/>
  <c r="M6"/>
  <c r="M8"/>
  <c r="M10"/>
  <c r="M11"/>
  <c r="M14"/>
  <c r="M16"/>
  <c r="X132" i="1"/>
  <c r="X130"/>
  <c r="Q126"/>
  <c r="AB126"/>
  <c r="W122"/>
  <c r="Q122"/>
  <c r="AB122"/>
  <c r="W120"/>
  <c r="X120"/>
  <c r="W119"/>
  <c r="X119"/>
  <c r="Q124"/>
  <c r="AB124"/>
  <c r="W117"/>
  <c r="X117"/>
  <c r="Q117"/>
  <c r="AB117"/>
  <c r="W134"/>
  <c r="R6" i="3"/>
  <c r="R8"/>
  <c r="X134" i="1"/>
  <c r="W118"/>
  <c r="AA118"/>
  <c r="X118"/>
  <c r="W123"/>
  <c r="Q123"/>
  <c r="AB123"/>
  <c r="W129"/>
  <c r="X129"/>
  <c r="Q129"/>
  <c r="W125"/>
  <c r="X125"/>
  <c r="W133"/>
  <c r="X133"/>
  <c r="Q133"/>
  <c r="Q7" i="3"/>
  <c r="Q10"/>
  <c r="Q12"/>
  <c r="Q14"/>
  <c r="Q17"/>
  <c r="Q18"/>
  <c r="Q26"/>
  <c r="Q32"/>
  <c r="Q34"/>
  <c r="Q36"/>
  <c r="Q41"/>
  <c r="J46" i="1"/>
  <c r="U46"/>
  <c r="Y56"/>
  <c r="D251"/>
  <c r="Y55"/>
  <c r="Y57"/>
  <c r="C66"/>
  <c r="T66"/>
  <c r="F67"/>
  <c r="D56"/>
  <c r="T67"/>
  <c r="AL48"/>
  <c r="AL49"/>
  <c r="T56"/>
  <c r="U56"/>
  <c r="N46"/>
  <c r="Q134"/>
  <c r="R7" i="3"/>
  <c r="R10"/>
  <c r="R12"/>
  <c r="Q125" i="1"/>
  <c r="AB125"/>
  <c r="Q120"/>
  <c r="AB120"/>
  <c r="AA120"/>
  <c r="Q119"/>
  <c r="AB119"/>
  <c r="AA119"/>
  <c r="Q118"/>
  <c r="AB118"/>
  <c r="AA129"/>
  <c r="AA125"/>
  <c r="D57"/>
  <c r="C67"/>
  <c r="L57"/>
  <c r="T57"/>
  <c r="D60"/>
  <c r="L67"/>
  <c r="T69"/>
  <c r="D70"/>
  <c r="Y46"/>
  <c r="X46"/>
  <c r="L46"/>
  <c r="R13" i="3"/>
  <c r="R14"/>
  <c r="R17"/>
  <c r="R18"/>
  <c r="R31"/>
  <c r="R35"/>
  <c r="R36"/>
  <c r="R41"/>
  <c r="N7"/>
  <c r="N10"/>
  <c r="N11"/>
  <c r="N14"/>
  <c r="N15"/>
  <c r="N21"/>
  <c r="N22"/>
  <c r="N26"/>
  <c r="N27"/>
  <c r="N29"/>
  <c r="N32"/>
  <c r="N39"/>
  <c r="AB127" i="1"/>
  <c r="J6" i="3"/>
  <c r="J8"/>
  <c r="U124" i="1"/>
  <c r="V124"/>
  <c r="U223"/>
  <c r="V222"/>
  <c r="F222"/>
  <c r="H222"/>
  <c r="F47"/>
  <c r="F11" i="3"/>
  <c r="F21"/>
  <c r="F22"/>
  <c r="F24"/>
  <c r="F25"/>
  <c r="F28"/>
  <c r="F29"/>
  <c r="F39"/>
  <c r="M29"/>
  <c r="M32"/>
  <c r="M39"/>
  <c r="M26"/>
  <c r="E16"/>
  <c r="E21"/>
  <c r="E22"/>
  <c r="E23"/>
  <c r="E24"/>
  <c r="E28"/>
  <c r="E38"/>
  <c r="E11"/>
  <c r="M10" i="6"/>
  <c r="O10"/>
  <c r="N10"/>
  <c r="P10"/>
  <c r="L8"/>
  <c r="L9"/>
  <c r="F32"/>
  <c r="F35"/>
  <c r="G32"/>
  <c r="G35"/>
  <c r="AA135" i="1"/>
  <c r="AA123"/>
  <c r="AA117"/>
  <c r="AA122"/>
  <c r="Q132"/>
  <c r="P7" i="3"/>
  <c r="P10"/>
  <c r="P12"/>
  <c r="P13"/>
  <c r="P14"/>
  <c r="P17"/>
  <c r="P18"/>
  <c r="P31"/>
  <c r="P41"/>
  <c r="Q130" i="1"/>
  <c r="U119"/>
  <c r="L119"/>
  <c r="G7" i="3"/>
  <c r="G11"/>
  <c r="G15"/>
  <c r="G21"/>
  <c r="G24"/>
  <c r="G25"/>
  <c r="G33"/>
  <c r="G38"/>
  <c r="O7"/>
  <c r="O10"/>
  <c r="O11"/>
  <c r="O14"/>
  <c r="O16"/>
  <c r="O26"/>
  <c r="O29"/>
  <c r="O32"/>
  <c r="O39"/>
  <c r="AB129" i="1"/>
  <c r="AA133"/>
  <c r="F23" i="6"/>
  <c r="F24"/>
  <c r="L124" i="1"/>
  <c r="J7" i="3"/>
  <c r="J18"/>
  <c r="J35"/>
  <c r="J40"/>
</calcChain>
</file>

<file path=xl/sharedStrings.xml><?xml version="1.0" encoding="utf-8"?>
<sst xmlns="http://schemas.openxmlformats.org/spreadsheetml/2006/main" count="808" uniqueCount="454">
  <si>
    <t/>
  </si>
  <si>
    <t>SUBTESTS</t>
  </si>
  <si>
    <t>ss</t>
  </si>
  <si>
    <t>%</t>
  </si>
  <si>
    <t>age grp</t>
  </si>
  <si>
    <t>Picture Completion</t>
  </si>
  <si>
    <t>fs</t>
  </si>
  <si>
    <t>wmi</t>
  </si>
  <si>
    <t>ps</t>
  </si>
  <si>
    <t>Vocabulary</t>
  </si>
  <si>
    <t>Similarities</t>
  </si>
  <si>
    <t>Block Design</t>
  </si>
  <si>
    <t>Scatter</t>
  </si>
  <si>
    <t>Matrix Reasoning</t>
  </si>
  <si>
    <t>Verbal</t>
  </si>
  <si>
    <t>Information</t>
  </si>
  <si>
    <t>Full Scale</t>
  </si>
  <si>
    <t>Comprehension</t>
  </si>
  <si>
    <t>Symbol Search</t>
  </si>
  <si>
    <t>Sums of Scaled Scores</t>
  </si>
  <si>
    <t>Obtained</t>
  </si>
  <si>
    <t>Percentile</t>
  </si>
  <si>
    <t>Confidence</t>
  </si>
  <si>
    <t xml:space="preserve">  SS Totals</t>
  </si>
  <si>
    <t xml:space="preserve"> IQ</t>
  </si>
  <si>
    <t>Rank</t>
  </si>
  <si>
    <t>Bands</t>
  </si>
  <si>
    <t xml:space="preserve"> Full Scale</t>
  </si>
  <si>
    <t>Processing Speed</t>
  </si>
  <si>
    <t>V</t>
  </si>
  <si>
    <t>A</t>
  </si>
  <si>
    <t>S</t>
  </si>
  <si>
    <t>SS</t>
  </si>
  <si>
    <t>C</t>
  </si>
  <si>
    <t>Vx=</t>
  </si>
  <si>
    <t>Px=</t>
  </si>
  <si>
    <t>FSx=</t>
  </si>
  <si>
    <t>vp diff</t>
  </si>
  <si>
    <t>v max</t>
  </si>
  <si>
    <t>p max</t>
  </si>
  <si>
    <t>v min</t>
  </si>
  <si>
    <t>p min</t>
  </si>
  <si>
    <t>diff</t>
  </si>
  <si>
    <t>fs sc diff</t>
  </si>
  <si>
    <t>v scat</t>
  </si>
  <si>
    <t>p scat</t>
  </si>
  <si>
    <t>11fs scat</t>
  </si>
  <si>
    <t>1213fs scat</t>
  </si>
  <si>
    <t>Full Scale mean</t>
  </si>
  <si>
    <t>14fs scat</t>
  </si>
  <si>
    <t xml:space="preserve">  I</t>
  </si>
  <si>
    <t>Ds</t>
  </si>
  <si>
    <t xml:space="preserve"> PC</t>
  </si>
  <si>
    <t xml:space="preserve"> PA</t>
  </si>
  <si>
    <t xml:space="preserve"> BD</t>
  </si>
  <si>
    <t xml:space="preserve"> OA</t>
  </si>
  <si>
    <t>Dsm</t>
  </si>
  <si>
    <t>Aud. Mem.</t>
  </si>
  <si>
    <t>Rep.</t>
  </si>
  <si>
    <t>vp</t>
  </si>
  <si>
    <t>Pss</t>
  </si>
  <si>
    <t>Fss</t>
  </si>
  <si>
    <t>FIQ</t>
  </si>
  <si>
    <t>ExtLow</t>
  </si>
  <si>
    <t>BL</t>
  </si>
  <si>
    <t>LA</t>
  </si>
  <si>
    <t>AVE</t>
  </si>
  <si>
    <t>HAVE</t>
  </si>
  <si>
    <t>SUP</t>
  </si>
  <si>
    <t>VSUP</t>
  </si>
  <si>
    <t>v6 scat%</t>
  </si>
  <si>
    <t>v7 scat%</t>
  </si>
  <si>
    <t>p5 Scat%</t>
  </si>
  <si>
    <t>p7 Scat%</t>
  </si>
  <si>
    <t>IQ 11 scat Scat%</t>
  </si>
  <si>
    <t>IQ 13 scat Scat%</t>
  </si>
  <si>
    <t>IQ 14 scat Scat%</t>
  </si>
  <si>
    <t>Pairs</t>
  </si>
  <si>
    <t>free rc</t>
  </si>
  <si>
    <t>copy</t>
  </si>
  <si>
    <t>Extremely Low</t>
  </si>
  <si>
    <t>Borderline</t>
  </si>
  <si>
    <t>Low Average</t>
  </si>
  <si>
    <t>Average</t>
  </si>
  <si>
    <t>High Average</t>
  </si>
  <si>
    <t>Superior</t>
  </si>
  <si>
    <t>Very Superior</t>
  </si>
  <si>
    <t>vsc</t>
  </si>
  <si>
    <t>vconf-</t>
  </si>
  <si>
    <t>vconf+</t>
  </si>
  <si>
    <t>psc</t>
  </si>
  <si>
    <t>pconf-</t>
  </si>
  <si>
    <t>pconf+</t>
  </si>
  <si>
    <t>fssc</t>
  </si>
  <si>
    <t>fsconf-</t>
  </si>
  <si>
    <t>fsconf+</t>
  </si>
  <si>
    <t>wmi-</t>
  </si>
  <si>
    <t>wmi+</t>
  </si>
  <si>
    <t>pssc</t>
  </si>
  <si>
    <t>psconf-</t>
  </si>
  <si>
    <t>psconf+</t>
  </si>
  <si>
    <t>psi</t>
  </si>
  <si>
    <t>Crit. Value</t>
  </si>
  <si>
    <t>Deviation</t>
  </si>
  <si>
    <t>PS</t>
  </si>
  <si>
    <t>i</t>
  </si>
  <si>
    <t>v</t>
  </si>
  <si>
    <t>c</t>
  </si>
  <si>
    <t>s</t>
  </si>
  <si>
    <t>bd</t>
  </si>
  <si>
    <t>mr</t>
  </si>
  <si>
    <t>cd</t>
  </si>
  <si>
    <t>Coding</t>
  </si>
  <si>
    <t xml:space="preserve">Name: </t>
  </si>
  <si>
    <t>PR</t>
  </si>
  <si>
    <t>total</t>
  </si>
  <si>
    <t>verbal</t>
  </si>
  <si>
    <t xml:space="preserve">Age:   </t>
  </si>
  <si>
    <t>Date of Birth:</t>
  </si>
  <si>
    <t xml:space="preserve"> </t>
  </si>
  <si>
    <t xml:space="preserve">Date Analyzed: </t>
  </si>
  <si>
    <t>Significance</t>
  </si>
  <si>
    <t>Is there a significant difference?</t>
  </si>
  <si>
    <t>(p &lt;  .01)</t>
  </si>
  <si>
    <t>(p &lt; .05)</t>
  </si>
  <si>
    <t>none</t>
  </si>
  <si>
    <t>Size of Difference needed for abnormality</t>
  </si>
  <si>
    <t>Is there abnormal scatter?</t>
  </si>
  <si>
    <t>Verbal Subtests High-Low Difference</t>
  </si>
  <si>
    <t>Abnormal</t>
  </si>
  <si>
    <t>Normal</t>
  </si>
  <si>
    <t>6 or more</t>
  </si>
  <si>
    <t>0 - 5</t>
  </si>
  <si>
    <t>4 or more</t>
  </si>
  <si>
    <t>0 - 3</t>
  </si>
  <si>
    <t>IQ group</t>
  </si>
  <si>
    <t>A. Is there a significant difference between the PSI subtests?</t>
  </si>
  <si>
    <t>pcm</t>
  </si>
  <si>
    <t>v combo</t>
  </si>
  <si>
    <t>p combo</t>
  </si>
  <si>
    <t>cd or ss</t>
  </si>
  <si>
    <t>Is Size of Difference Abnormal?</t>
  </si>
  <si>
    <t>GLC</t>
  </si>
  <si>
    <t>Because no abnormal differences are found, determine if the noted differences are interpretable.</t>
  </si>
  <si>
    <t>%ile</t>
  </si>
  <si>
    <t>Full Scale Statistics</t>
  </si>
  <si>
    <t>Date of Test:</t>
  </si>
  <si>
    <t>Pr.  Spd.</t>
  </si>
  <si>
    <t>VCI</t>
  </si>
  <si>
    <t>PRI</t>
  </si>
  <si>
    <t>WM</t>
  </si>
  <si>
    <t>Perceptual Reasoning</t>
  </si>
  <si>
    <t>Verbal Comprehension</t>
  </si>
  <si>
    <t>Working Memory</t>
  </si>
  <si>
    <t>Because there is no significant differences between the VCI and PRI, explain the meaning of the scales not being significantly different.</t>
  </si>
  <si>
    <t>Because there is a significant difference between the VCI and PRI, interpret the FSIQ with caution.  Examine further steps.</t>
  </si>
  <si>
    <t xml:space="preserve">Because each answers to A and B was NO, the VCI versus PRI discrepancy is interpretable. </t>
  </si>
  <si>
    <t xml:space="preserve">Because an answer to either A or B was YES, the VCI versus PRI discrepancy differences should probably not be interpreted. </t>
  </si>
  <si>
    <t>Verbal Comprehension mean</t>
  </si>
  <si>
    <t>Perceptual</t>
  </si>
  <si>
    <t>p</t>
  </si>
  <si>
    <t>w</t>
  </si>
  <si>
    <t>wm</t>
  </si>
  <si>
    <t>ca</t>
  </si>
  <si>
    <t>ds</t>
  </si>
  <si>
    <t>Digit Span</t>
  </si>
  <si>
    <t>Letter-Number Sequence</t>
  </si>
  <si>
    <t>Arithmetic</t>
  </si>
  <si>
    <t>Cancellation</t>
  </si>
  <si>
    <t>S V C</t>
  </si>
  <si>
    <t>S V I</t>
  </si>
  <si>
    <t>lns</t>
  </si>
  <si>
    <t>comp</t>
  </si>
  <si>
    <t>sim</t>
  </si>
  <si>
    <t>Block Design No Time Bonus</t>
  </si>
  <si>
    <t>Digit Span Forward</t>
  </si>
  <si>
    <t>Digit Span Backward</t>
  </si>
  <si>
    <t>Process Scores</t>
  </si>
  <si>
    <t>A. Is there abnormal VCI scatter?</t>
  </si>
  <si>
    <t>B. Is there abnormal PRI scatter?</t>
  </si>
  <si>
    <t>Longest Digit Forward (raw score)</t>
  </si>
  <si>
    <t>Longest Digit Backward (raw score)</t>
  </si>
  <si>
    <t>Because an abnormal difference was found, explain the abnormally large VCI vs PRI difference.</t>
  </si>
  <si>
    <t>cd/ss</t>
  </si>
  <si>
    <t>i/c</t>
  </si>
  <si>
    <t>mr/bd</t>
  </si>
  <si>
    <t>ds/a</t>
  </si>
  <si>
    <t>DS/lns</t>
  </si>
  <si>
    <t>cd/ca</t>
  </si>
  <si>
    <t>a/lns</t>
  </si>
  <si>
    <t>dsf/dsb</t>
  </si>
  <si>
    <t>ldf/ldb</t>
  </si>
  <si>
    <t>I</t>
  </si>
  <si>
    <t>Ln</t>
  </si>
  <si>
    <t>Cd</t>
  </si>
  <si>
    <t>BD</t>
  </si>
  <si>
    <t>MR</t>
  </si>
  <si>
    <t>Deviation from mean:</t>
  </si>
  <si>
    <t>Strength or Weakness:</t>
  </si>
  <si>
    <t>Positive or Negative:</t>
  </si>
  <si>
    <t>INPUT</t>
  </si>
  <si>
    <t>Attention-Concentration</t>
  </si>
  <si>
    <t>Complex Verbal Directions</t>
  </si>
  <si>
    <t>Essential from Non Essential</t>
  </si>
  <si>
    <t>Encoding Information for Processing</t>
  </si>
  <si>
    <t>Understanding Long Questions</t>
  </si>
  <si>
    <t>Understanding Words</t>
  </si>
  <si>
    <t>Visual Motor Channel</t>
  </si>
  <si>
    <t>INTEGRATION/STORAGE</t>
  </si>
  <si>
    <t>Achievement</t>
  </si>
  <si>
    <t>Acquired Knowledge</t>
  </si>
  <si>
    <t>Concept Formation</t>
  </si>
  <si>
    <t>Crystallized Intelligence</t>
  </si>
  <si>
    <t>Culture Loaded Knowledge</t>
  </si>
  <si>
    <t>Facility with Numbers</t>
  </si>
  <si>
    <t>Fluid Intelligence</t>
  </si>
  <si>
    <t>Fund of Information</t>
  </si>
  <si>
    <t>Memory</t>
  </si>
  <si>
    <t>Nonverbal Reasoning</t>
  </si>
  <si>
    <t>Planning Ability</t>
  </si>
  <si>
    <t>Sequencing</t>
  </si>
  <si>
    <t>Verbal Reasoning</t>
  </si>
  <si>
    <t>Visual Memory</t>
  </si>
  <si>
    <t>Visual Processing</t>
  </si>
  <si>
    <t>Visual Sequencing</t>
  </si>
  <si>
    <t>OUTPUT</t>
  </si>
  <si>
    <t>Much Verbal Expression</t>
  </si>
  <si>
    <t>Simple Verbal expression</t>
  </si>
  <si>
    <t>Visual Organization</t>
  </si>
  <si>
    <t>Visual-Motor Coordination</t>
  </si>
  <si>
    <t>PCmp</t>
  </si>
  <si>
    <t>Visual Perception-Abstr. Stim.</t>
  </si>
  <si>
    <t>Visual Perception-Cmpl. Mean. Stim.</t>
  </si>
  <si>
    <t>Auditory-Vocal Channel</t>
  </si>
  <si>
    <t xml:space="preserve">      The following uses separate Verbal and Perceptual values unless you specify the Full Scale by typing "F" here:</t>
  </si>
  <si>
    <t>Perceptual Reasoning Subtests High-Low Difference</t>
  </si>
  <si>
    <t>Perceptual Reasoning mean</t>
  </si>
  <si>
    <t>Broad Abilities</t>
  </si>
  <si>
    <t>Narrow Abilities</t>
  </si>
  <si>
    <t>Gc</t>
  </si>
  <si>
    <t>Language Development</t>
  </si>
  <si>
    <t>Lexical Knowledge</t>
  </si>
  <si>
    <t>General Information</t>
  </si>
  <si>
    <t>Gv</t>
  </si>
  <si>
    <t>Spatial Relations</t>
  </si>
  <si>
    <t>Visualization</t>
  </si>
  <si>
    <t>Gf</t>
  </si>
  <si>
    <t>Induction</t>
  </si>
  <si>
    <t>Flexibility of Closure</t>
  </si>
  <si>
    <t>Gsm</t>
  </si>
  <si>
    <t>Memory Span</t>
  </si>
  <si>
    <t>Gq</t>
  </si>
  <si>
    <t>Math Achievement</t>
  </si>
  <si>
    <t>Quantitative Reasoning</t>
  </si>
  <si>
    <t>Gs</t>
  </si>
  <si>
    <t>Rate of test taking</t>
  </si>
  <si>
    <t>Symbols Search</t>
  </si>
  <si>
    <t>Perceptual Speed</t>
  </si>
  <si>
    <t>Linguistic Demand</t>
  </si>
  <si>
    <t>Cultural Loading</t>
  </si>
  <si>
    <t>high</t>
  </si>
  <si>
    <t>moderate</t>
  </si>
  <si>
    <t>low</t>
  </si>
  <si>
    <t>Adapted from Appendix A, pp. 445 – 453, The Intelligence Test Desk Reference (ITDR): Gf-Gc Cross-Battery Assessment (McGrew &amp; Flanagan, 1998) and Table 8.3, p. 312, The Wechsler Intelligence Scales and Gf-Gc Theory (Flanagan, McGrew &amp; Ortiz, 2000)</t>
  </si>
  <si>
    <t>These template sheets come with some scores already entered into cells.</t>
  </si>
  <si>
    <t>****Be sure to delete any scores that do not pertain to your particular case.****</t>
  </si>
  <si>
    <t>The Percentiles reported here are simple SS to Percentile lookups.  They are based upon the normal curve distribution.</t>
  </si>
  <si>
    <r>
      <t xml:space="preserve">Gf-Gc configurations were adapted from Appendix A, pp. 445 – 453, </t>
    </r>
    <r>
      <rPr>
        <b/>
        <i/>
        <sz val="8"/>
        <rFont val="Arial"/>
        <family val="2"/>
      </rPr>
      <t>The Intelligence Test Desk Reference (ITDR): Gf-Gc Cross-Battery Assessment</t>
    </r>
    <r>
      <rPr>
        <b/>
        <sz val="8"/>
        <rFont val="Arial"/>
        <family val="2"/>
      </rPr>
      <t xml:space="preserve"> (McGrew &amp; Flanagan, 1998) and Table 8.3, p. 312, </t>
    </r>
    <r>
      <rPr>
        <b/>
        <i/>
        <sz val="8"/>
        <rFont val="Arial"/>
        <family val="2"/>
      </rPr>
      <t>The Wechsler Intelligence Scales and Gf-Gc Theory</t>
    </r>
    <r>
      <rPr>
        <b/>
        <sz val="8"/>
        <rFont val="Arial"/>
        <family val="2"/>
      </rPr>
      <t xml:space="preserve"> (Flanagan, McGrew &amp; Ortiz, 2000)</t>
    </r>
  </si>
  <si>
    <t>All cells, except those requiring entry, are protected.  Use the TAB key to move from input cell to input cell.</t>
  </si>
  <si>
    <t>We (Ron Dumont and John Willis) and The Psychological Corporation, take no responsibility for any errors made while using these templates.</t>
  </si>
  <si>
    <t>Degree of Linguistic Demands</t>
  </si>
  <si>
    <t>Low</t>
  </si>
  <si>
    <t>Moderate</t>
  </si>
  <si>
    <t>High</t>
  </si>
  <si>
    <t>Level Cultural Loading</t>
  </si>
  <si>
    <t>Average:</t>
  </si>
  <si>
    <t>Letter-Number Sequencing</t>
  </si>
  <si>
    <t>DWI-2 (WMI + PSI) =</t>
  </si>
  <si>
    <t>DS Forward</t>
  </si>
  <si>
    <t>DS Backward</t>
  </si>
  <si>
    <t>Oral / Verbal</t>
  </si>
  <si>
    <t>Pictures / Puzzles / Paper</t>
  </si>
  <si>
    <t>Processing   DWI-2</t>
  </si>
  <si>
    <t>Higher Level Thinking     DWI-1</t>
  </si>
  <si>
    <t>Standard Score:</t>
  </si>
  <si>
    <t>High Cultural</t>
  </si>
  <si>
    <t>Moderate Cultural</t>
  </si>
  <si>
    <t>Low Cultural</t>
  </si>
  <si>
    <t>High Linguistic</t>
  </si>
  <si>
    <t>Moderate Linguistic</t>
  </si>
  <si>
    <t>Low Linguistic</t>
  </si>
  <si>
    <r>
      <t>Use the TAB key to navigate to cells requiring input -</t>
    </r>
    <r>
      <rPr>
        <i/>
        <sz val="8"/>
        <color indexed="10"/>
        <rFont val="Arial"/>
        <family val="2"/>
      </rPr>
      <t xml:space="preserve"> Text highlighted in red</t>
    </r>
  </si>
  <si>
    <t>A. Is there a significant difference between the WMI subtests?</t>
  </si>
  <si>
    <t>Dumont-Willis WAIS-IV Interpretive Worksheet</t>
  </si>
  <si>
    <r>
      <t>Wechsler Adult Intelligence Scale - Fourth Edition</t>
    </r>
    <r>
      <rPr>
        <sz val="8"/>
        <color indexed="49"/>
        <rFont val="Arial"/>
        <family val="2"/>
      </rPr>
      <t>© The Psychological Corporation., 2008. All Rights Reserved</t>
    </r>
  </si>
  <si>
    <t>voc</t>
  </si>
  <si>
    <t>ar</t>
  </si>
  <si>
    <t>VP</t>
  </si>
  <si>
    <t>Inf</t>
  </si>
  <si>
    <t>fw</t>
  </si>
  <si>
    <t>C V I</t>
  </si>
  <si>
    <t>S C I</t>
  </si>
  <si>
    <t>BD MR VP</t>
  </si>
  <si>
    <t>FW MR VP</t>
  </si>
  <si>
    <t>BD FW VP</t>
  </si>
  <si>
    <t>BD MR FW</t>
  </si>
  <si>
    <t>PC MR VP</t>
  </si>
  <si>
    <t>BD PC VP</t>
  </si>
  <si>
    <t>BD MR PC</t>
  </si>
  <si>
    <t>0 - 8</t>
  </si>
  <si>
    <t>12 or more</t>
  </si>
  <si>
    <t>Visual Puzzles</t>
  </si>
  <si>
    <t>Figure Weights</t>
  </si>
  <si>
    <t>&gt;CR</t>
  </si>
  <si>
    <t>sign</t>
  </si>
  <si>
    <t>&gt;CV</t>
  </si>
  <si>
    <t>*16 - 69 only</t>
  </si>
  <si>
    <t>Digit Span Sequencing</t>
  </si>
  <si>
    <t>Longest Digit Sequencing (raw score)</t>
  </si>
  <si>
    <t>Longest Letter-Number (raw score)</t>
  </si>
  <si>
    <t>bd/bdnt</t>
  </si>
  <si>
    <t>dsf/dss</t>
  </si>
  <si>
    <t>dsb/dss</t>
  </si>
  <si>
    <t>ldf/lds</t>
  </si>
  <si>
    <t>ldb/lds</t>
  </si>
  <si>
    <t>Vizualization</t>
  </si>
  <si>
    <t>.05 15</t>
  </si>
  <si>
    <t>Check the subtests used in the Full Scale IQ calculation.  Core subtests are those within the border</t>
  </si>
  <si>
    <t>Narrative Category</t>
  </si>
  <si>
    <t>CO,VC,IN</t>
  </si>
  <si>
    <t>SI,CO,IN</t>
  </si>
  <si>
    <t>SI,VC,CO</t>
  </si>
  <si>
    <t>FW,MR,VP</t>
  </si>
  <si>
    <t>BD,FW,VP</t>
  </si>
  <si>
    <t>BD,MR,FW</t>
  </si>
  <si>
    <t>PC,MR,VP</t>
  </si>
  <si>
    <t>BD,PC,VP</t>
  </si>
  <si>
    <t>BD,MR,PC</t>
  </si>
  <si>
    <t>LN,AR</t>
  </si>
  <si>
    <t>DS,LN</t>
  </si>
  <si>
    <t>CA,CD</t>
  </si>
  <si>
    <t>SS,CA</t>
  </si>
  <si>
    <t>Substitution possibilities:</t>
  </si>
  <si>
    <t>DS Sequencing</t>
  </si>
  <si>
    <t xml:space="preserve"> Verbal / Perceptual  Statistics</t>
  </si>
  <si>
    <t>core mean</t>
  </si>
  <si>
    <t>WAIS-IV Interpretive Worksheet</t>
  </si>
  <si>
    <t>FSIQ</t>
  </si>
  <si>
    <t>SI</t>
  </si>
  <si>
    <t>VC</t>
  </si>
  <si>
    <t>IN</t>
  </si>
  <si>
    <t>(CO)</t>
  </si>
  <si>
    <t xml:space="preserve">VP </t>
  </si>
  <si>
    <t>(FW)</t>
  </si>
  <si>
    <t>(PCm)</t>
  </si>
  <si>
    <t>DS</t>
  </si>
  <si>
    <t>AR</t>
  </si>
  <si>
    <t>(LN)</t>
  </si>
  <si>
    <t>CD</t>
  </si>
  <si>
    <t>(CA)</t>
  </si>
  <si>
    <t>Full Scale Intelligence Quotient</t>
  </si>
  <si>
    <t>MAJOR SCALES</t>
  </si>
  <si>
    <t>LN</t>
  </si>
  <si>
    <t>Nonverbal/Perceptual</t>
  </si>
  <si>
    <t>GAI / DWI SCORES</t>
  </si>
  <si>
    <t>INDICES</t>
  </si>
  <si>
    <t xml:space="preserve">      Perceptual Reasoning </t>
  </si>
  <si>
    <t>GROUPS TO BE CONTEMPLATED IN GENERATING HYPOTHESES</t>
  </si>
  <si>
    <t>CO</t>
  </si>
  <si>
    <t>[VC?]</t>
  </si>
  <si>
    <t>PCm</t>
  </si>
  <si>
    <t>Subtests emphasizing word meanings</t>
  </si>
  <si>
    <t>Subtests emphasizing factual knowledge</t>
  </si>
  <si>
    <t>Subtests emphasizing school-acquired knowledge</t>
  </si>
  <si>
    <t>Subtests with pictorial stimuli</t>
  </si>
  <si>
    <t>Subtests with abstract designs</t>
  </si>
  <si>
    <t>FW</t>
  </si>
  <si>
    <t>CA</t>
  </si>
  <si>
    <t>Subtests emphasizing reasoning</t>
  </si>
  <si>
    <t>DS F</t>
  </si>
  <si>
    <t>DS B</t>
  </si>
  <si>
    <t>DS S</t>
  </si>
  <si>
    <t>[AR?]</t>
  </si>
  <si>
    <t>BDN</t>
  </si>
  <si>
    <t>No time limits</t>
  </si>
  <si>
    <t>Time limits</t>
  </si>
  <si>
    <t>BD vs BND</t>
  </si>
  <si>
    <t>DS F vs DS B</t>
  </si>
  <si>
    <t>DS F vs DS S</t>
  </si>
  <si>
    <t>DS B vs DS S</t>
  </si>
  <si>
    <t xml:space="preserve">IN </t>
  </si>
  <si>
    <t>GAI: Emphasizing verbal and nonverbal thinking</t>
  </si>
  <si>
    <t>DWI-2: Emphasizing short-term memory and processing speed</t>
  </si>
  <si>
    <t>Process Comparisons</t>
  </si>
  <si>
    <t>Subtests emphasizing reasoning over knowledge</t>
  </si>
  <si>
    <t>Subtests emphasizing knowledge over reasoning</t>
  </si>
  <si>
    <t xml:space="preserve">Subtests with relatively short questions      </t>
  </si>
  <si>
    <t>Subtests with relatively long questions</t>
  </si>
  <si>
    <t>Subtests with relatively short answers</t>
  </si>
  <si>
    <t>Subtests with relatively long answers</t>
  </si>
  <si>
    <t>Vigilance</t>
  </si>
  <si>
    <t>Speed bonus</t>
  </si>
  <si>
    <t>Digit Span-Forward</t>
  </si>
  <si>
    <t>Digit Span-Backward</t>
  </si>
  <si>
    <t>Digit Span-Sequencing</t>
  </si>
  <si>
    <t>These scores act as placeholders and demonstrate what scores are necessary. The only sheets that require any user input is the WAIS-IV sheet.</t>
  </si>
  <si>
    <t>WAIS-IV Gf-Gc Classifications?</t>
  </si>
  <si>
    <t xml:space="preserve">CRYSTALLIZED INTELLIGENCE (Gc) is the breadth and depth of a person’s acquired knowledge of a culture and the effective application of this knowledge. </t>
  </si>
  <si>
    <t xml:space="preserve">VISUAL PROCESSING (Gv) is the ability to generate, perceive, analyze, synthesize, manipulate, transform, and think with visual patterns and stimuli. </t>
  </si>
  <si>
    <t>SHORT-TERM MEMORY (Gsm) is the ability to apprehend and hold information in immediate awareness and then use it within a few seconds.</t>
  </si>
  <si>
    <t>PROCESSING SPEED (Gs) is the ability to perform cognitive tasks fluently and automatically, especially when under pressure to maintain focused attention and concentration.</t>
  </si>
  <si>
    <t xml:space="preserve">FLUID INTELLIGENCE (Gf) is the ability to use and engage in various mental operations when faced with a relatively novel task that cannot be performed automatically. </t>
  </si>
  <si>
    <t xml:space="preserve">QUANTITATIVE KNOWLEDGE (Gq) represents an individual’s store of acquired quantitative declarative and procedural knowledge.  It involves the ability to use quantitative information and manipulate numeric symbols. </t>
  </si>
  <si>
    <t xml:space="preserve">Digit Span Forward </t>
  </si>
  <si>
    <r>
      <t>(</t>
    </r>
    <r>
      <rPr>
        <sz val="9"/>
        <rFont val="Times New Roman"/>
        <family val="1"/>
      </rPr>
      <t>Spatial Relations</t>
    </r>
    <r>
      <rPr>
        <sz val="11"/>
        <rFont val="Times New Roman"/>
        <family val="1"/>
      </rPr>
      <t>)</t>
    </r>
  </si>
  <si>
    <r>
      <t>(</t>
    </r>
    <r>
      <rPr>
        <sz val="9"/>
        <rFont val="Times New Roman"/>
        <family val="1"/>
      </rPr>
      <t>Visualization</t>
    </r>
    <r>
      <rPr>
        <sz val="11"/>
        <rFont val="Times New Roman"/>
        <family val="1"/>
      </rPr>
      <t>)</t>
    </r>
  </si>
  <si>
    <r>
      <t>(</t>
    </r>
    <r>
      <rPr>
        <sz val="9"/>
        <rFont val="Times New Roman"/>
        <family val="1"/>
      </rPr>
      <t>Flexibility of Closure, General (Verbal) Information</t>
    </r>
    <r>
      <rPr>
        <sz val="11"/>
        <rFont val="Times New Roman"/>
        <family val="1"/>
      </rPr>
      <t>)</t>
    </r>
  </si>
  <si>
    <r>
      <t>(</t>
    </r>
    <r>
      <rPr>
        <sz val="9"/>
        <rFont val="Times New Roman"/>
        <family val="1"/>
      </rPr>
      <t>Memory Span</t>
    </r>
    <r>
      <rPr>
        <sz val="11"/>
        <rFont val="Times New Roman"/>
        <family val="1"/>
      </rPr>
      <t>)</t>
    </r>
  </si>
  <si>
    <r>
      <t>(</t>
    </r>
    <r>
      <rPr>
        <sz val="9"/>
        <rFont val="Times New Roman"/>
        <family val="1"/>
      </rPr>
      <t>Working Memory</t>
    </r>
    <r>
      <rPr>
        <sz val="11"/>
        <rFont val="Times New Roman"/>
        <family val="1"/>
      </rPr>
      <t>)</t>
    </r>
  </si>
  <si>
    <r>
      <t>(</t>
    </r>
    <r>
      <rPr>
        <sz val="9"/>
        <rFont val="Times New Roman"/>
        <family val="1"/>
      </rPr>
      <t>Perceptual Speed</t>
    </r>
    <r>
      <rPr>
        <sz val="11"/>
        <rFont val="Times New Roman"/>
        <family val="1"/>
      </rPr>
      <t>)</t>
    </r>
  </si>
  <si>
    <r>
      <t>(</t>
    </r>
    <r>
      <rPr>
        <sz val="9"/>
        <rFont val="Times New Roman"/>
        <family val="1"/>
      </rPr>
      <t>Rate-of-Test-Taking</t>
    </r>
    <r>
      <rPr>
        <sz val="11"/>
        <rFont val="Times New Roman"/>
        <family val="1"/>
      </rPr>
      <t>)</t>
    </r>
  </si>
  <si>
    <r>
      <t>(</t>
    </r>
    <r>
      <rPr>
        <sz val="9"/>
        <rFont val="Times New Roman"/>
        <family val="1"/>
      </rPr>
      <t>Quantitative Reasoning</t>
    </r>
    <r>
      <rPr>
        <sz val="11"/>
        <rFont val="Times New Roman"/>
        <family val="1"/>
      </rPr>
      <t>)</t>
    </r>
  </si>
  <si>
    <r>
      <t>(</t>
    </r>
    <r>
      <rPr>
        <sz val="9"/>
        <rFont val="Times New Roman"/>
        <family val="1"/>
      </rPr>
      <t>Math Achievement</t>
    </r>
    <r>
      <rPr>
        <sz val="11"/>
        <rFont val="Times New Roman"/>
        <family val="1"/>
      </rPr>
      <t>)</t>
    </r>
  </si>
  <si>
    <r>
      <t>(</t>
    </r>
    <r>
      <rPr>
        <sz val="9"/>
        <rFont val="Times New Roman"/>
        <family val="1"/>
      </rPr>
      <t>Inductive Reasoning</t>
    </r>
    <r>
      <rPr>
        <sz val="11"/>
        <rFont val="Times New Roman"/>
        <family val="1"/>
      </rPr>
      <t>)</t>
    </r>
  </si>
  <si>
    <t>Subtest</t>
  </si>
  <si>
    <t>Score</t>
  </si>
  <si>
    <t>Narrow Ability</t>
  </si>
  <si>
    <r>
      <t>(</t>
    </r>
    <r>
      <rPr>
        <sz val="9"/>
        <rFont val="Times New Roman"/>
        <family val="1"/>
      </rPr>
      <t>Language Development</t>
    </r>
    <r>
      <rPr>
        <sz val="11"/>
        <rFont val="Times New Roman"/>
        <family val="1"/>
      </rPr>
      <t>)</t>
    </r>
  </si>
  <si>
    <r>
      <t>(</t>
    </r>
    <r>
      <rPr>
        <sz val="9"/>
        <rFont val="Times New Roman"/>
        <family val="1"/>
      </rPr>
      <t>Lexical Knowledge</t>
    </r>
    <r>
      <rPr>
        <sz val="11"/>
        <rFont val="Times New Roman"/>
        <family val="1"/>
      </rPr>
      <t>)</t>
    </r>
  </si>
  <si>
    <r>
      <t>(</t>
    </r>
    <r>
      <rPr>
        <sz val="9"/>
        <rFont val="Times New Roman"/>
        <family val="1"/>
      </rPr>
      <t>General (Verbal) Information</t>
    </r>
    <r>
      <rPr>
        <sz val="11"/>
        <rFont val="Times New Roman"/>
        <family val="1"/>
      </rPr>
      <t>)</t>
    </r>
  </si>
  <si>
    <t>mr/fw</t>
  </si>
  <si>
    <t>BD/VP</t>
  </si>
  <si>
    <t>Possible Ways of Sorting Out WAIS-IV Scores</t>
  </si>
  <si>
    <t>Evaluate the Full Scale IQ</t>
  </si>
  <si>
    <t>Is the VCI versus PRI Significantly Different?                                     Note: See Table B.1 for standardization frequency</t>
  </si>
  <si>
    <t>Is the VCI versus PRI Difference Abnormally Large?                         Note: See Table B.2 for standardization frequency</t>
  </si>
  <si>
    <t>Are the VCI and PRI composites interpretable?                               Note: See Table B.6 for standardization frequency</t>
  </si>
  <si>
    <t>Determine if the Working Memory Index is interpretable.                 Note: See Table B.4 for standardization frequency</t>
  </si>
  <si>
    <t>Determine if the Processing Speed Index is interpretable.                 Note: See Table B.4 for standardization frequency</t>
  </si>
  <si>
    <t>Interpret significant strengths and weaknesses.</t>
  </si>
  <si>
    <t>Compare relevant subtest groupings (.05 level of significance)</t>
  </si>
  <si>
    <t>Process comparisons (.05 level of significance)</t>
  </si>
  <si>
    <t>Examine "Ways to Sort" Tab</t>
  </si>
  <si>
    <t>WAIS-IV Subtests and Proposed Broad and Narrow Abilities and Cultural and Linguistic Demands</t>
  </si>
  <si>
    <t>GAI and Dumont-Willis Index-2</t>
  </si>
  <si>
    <t>GAI (VCI + PRI) =</t>
  </si>
  <si>
    <t xml:space="preserve">The General Ability Index (GAI) is computed from the sum of scaled scores for the VCI and PRI subtests.  Unlike the DWI-2 tables, the GAI tables are based directly on the WAIS-IV normative data.  </t>
  </si>
  <si>
    <t>The Dumont-Willis DWI-2 Index is based on the sum of scaled scores for the Digit Span and Arithmetic (WMI) and Symbol Search and Coding (PSI) subtests.   It should be computed and considered only when the four WMI and PSI subtest scores are close to one another and substantially separate from the VCI and PRI subtests.  In those cases, the GAI and DWI-2 scores may be an efficient alternative means of summarizing the 10 WAIS-IV core subtests, but they must never be confused with normative WAIS-IV factor and IQ scores.</t>
  </si>
  <si>
    <r>
      <t xml:space="preserve">Adapted from Dawn Flanagan, Samuel Ortiz, and Vincent Alfonso's </t>
    </r>
    <r>
      <rPr>
        <i/>
        <sz val="8"/>
        <rFont val="Arial"/>
        <family val="2"/>
      </rPr>
      <t>Essentials of Cross-Battery Assessment</t>
    </r>
    <r>
      <rPr>
        <sz val="8"/>
        <rFont val="Arial"/>
        <family val="2"/>
      </rPr>
      <t xml:space="preserve"> (Wiley, 2007) Append D.</t>
    </r>
  </si>
  <si>
    <t>WAIS-IV Cultural / Linguistic Matrix</t>
  </si>
  <si>
    <t>M C</t>
  </si>
  <si>
    <t>There may be some differences between some of the templates reporting and data in the WAIS-IV Manuals.</t>
  </si>
  <si>
    <t>The Composite and FSIQ ranges are based upon a formula (SEe).</t>
  </si>
  <si>
    <t>Critical Values for subtest differences are approximations - because there are so many subtest combinations available, the template uses the rounded average of all possible critical values.</t>
  </si>
</sst>
</file>

<file path=xl/styles.xml><?xml version="1.0" encoding="utf-8"?>
<styleSheet xmlns="http://schemas.openxmlformats.org/spreadsheetml/2006/main">
  <numFmts count="1">
    <numFmt numFmtId="164" formatCode="0.0"/>
  </numFmts>
  <fonts count="67">
    <font>
      <sz val="9"/>
      <name val="Geneva"/>
    </font>
    <font>
      <b/>
      <sz val="9"/>
      <name val="Geneva"/>
    </font>
    <font>
      <sz val="10"/>
      <name val="Geneva"/>
    </font>
    <font>
      <b/>
      <sz val="8"/>
      <name val="Geneva"/>
    </font>
    <font>
      <sz val="8"/>
      <name val="Geneva"/>
    </font>
    <font>
      <sz val="8"/>
      <color indexed="8"/>
      <name val="Geneva"/>
    </font>
    <font>
      <b/>
      <i/>
      <sz val="8"/>
      <name val="Geneva"/>
    </font>
    <font>
      <sz val="8"/>
      <name val="Tahoma"/>
      <family val="2"/>
    </font>
    <font>
      <b/>
      <sz val="8"/>
      <color indexed="10"/>
      <name val="Geneva"/>
    </font>
    <font>
      <sz val="8"/>
      <name val="Arial"/>
      <family val="2"/>
    </font>
    <font>
      <b/>
      <sz val="8"/>
      <color indexed="9"/>
      <name val="Geneva"/>
    </font>
    <font>
      <b/>
      <sz val="8"/>
      <name val="Arial"/>
      <family val="2"/>
    </font>
    <font>
      <i/>
      <sz val="8"/>
      <name val="Arial"/>
      <family val="2"/>
    </font>
    <font>
      <b/>
      <sz val="8"/>
      <color indexed="57"/>
      <name val="Geneva"/>
    </font>
    <font>
      <sz val="8"/>
      <color indexed="57"/>
      <name val="Geneva"/>
    </font>
    <font>
      <sz val="8"/>
      <color indexed="9"/>
      <name val="Geneva"/>
    </font>
    <font>
      <sz val="9"/>
      <color indexed="9"/>
      <name val="Geneva"/>
    </font>
    <font>
      <b/>
      <u/>
      <sz val="8"/>
      <name val="Arial"/>
      <family val="2"/>
    </font>
    <font>
      <b/>
      <i/>
      <sz val="8"/>
      <name val="Arial"/>
      <family val="2"/>
    </font>
    <font>
      <sz val="10"/>
      <name val="Arial"/>
      <family val="2"/>
    </font>
    <font>
      <b/>
      <sz val="10"/>
      <name val="Arial"/>
      <family val="2"/>
    </font>
    <font>
      <sz val="8"/>
      <color indexed="10"/>
      <name val="Geneva"/>
    </font>
    <font>
      <b/>
      <sz val="9"/>
      <color indexed="9"/>
      <name val="Geneva"/>
    </font>
    <font>
      <sz val="9"/>
      <name val="Arial"/>
      <family val="2"/>
    </font>
    <font>
      <sz val="8"/>
      <color indexed="10"/>
      <name val="Arial"/>
      <family val="2"/>
    </font>
    <font>
      <i/>
      <sz val="8"/>
      <color indexed="10"/>
      <name val="Arial"/>
      <family val="2"/>
    </font>
    <font>
      <sz val="8"/>
      <color indexed="49"/>
      <name val="Arial"/>
      <family val="2"/>
    </font>
    <font>
      <sz val="9"/>
      <name val="Calibri"/>
      <family val="2"/>
    </font>
    <font>
      <i/>
      <sz val="8"/>
      <name val="Geneva"/>
    </font>
    <font>
      <b/>
      <sz val="11"/>
      <name val="Times New Roman"/>
      <family val="1"/>
    </font>
    <font>
      <sz val="11"/>
      <name val="Times New Roman"/>
      <family val="1"/>
    </font>
    <font>
      <sz val="9"/>
      <name val="Times New Roman"/>
      <family val="1"/>
    </font>
    <font>
      <sz val="10"/>
      <color indexed="63"/>
      <name val="Arial"/>
      <family val="2"/>
    </font>
    <font>
      <sz val="8"/>
      <color indexed="49"/>
      <name val="Geneva"/>
    </font>
    <font>
      <sz val="9"/>
      <color indexed="49"/>
      <name val="Geneva"/>
    </font>
    <font>
      <b/>
      <sz val="8"/>
      <color indexed="49"/>
      <name val="Geneva"/>
    </font>
    <font>
      <b/>
      <sz val="8"/>
      <color indexed="9"/>
      <name val="Geneva"/>
    </font>
    <font>
      <sz val="8"/>
      <color indexed="10"/>
      <name val="Geneva"/>
    </font>
    <font>
      <sz val="9"/>
      <color indexed="63"/>
      <name val="Geneva"/>
    </font>
    <font>
      <sz val="9"/>
      <color indexed="9"/>
      <name val="Geneva"/>
    </font>
    <font>
      <sz val="8"/>
      <color indexed="63"/>
      <name val="Arial"/>
      <family val="2"/>
    </font>
    <font>
      <sz val="8"/>
      <color indexed="9"/>
      <name val="Arial"/>
      <family val="2"/>
    </font>
    <font>
      <sz val="10"/>
      <color indexed="63"/>
      <name val="Geneva"/>
    </font>
    <font>
      <b/>
      <sz val="8"/>
      <color indexed="63"/>
      <name val="Arial"/>
      <family val="2"/>
    </font>
    <font>
      <b/>
      <sz val="8"/>
      <color indexed="63"/>
      <name val="Geneva"/>
    </font>
    <font>
      <sz val="8"/>
      <color indexed="63"/>
      <name val="Geneva"/>
    </font>
    <font>
      <b/>
      <sz val="10"/>
      <color indexed="9"/>
      <name val="Arial"/>
      <family val="2"/>
    </font>
    <font>
      <b/>
      <sz val="16"/>
      <color indexed="49"/>
      <name val="Geneva"/>
    </font>
    <font>
      <sz val="16"/>
      <color indexed="49"/>
      <name val="Geneva"/>
    </font>
    <font>
      <sz val="8"/>
      <color indexed="9"/>
      <name val="Geneva"/>
    </font>
    <font>
      <i/>
      <sz val="8"/>
      <color indexed="9"/>
      <name val="Arial"/>
      <family val="2"/>
    </font>
    <font>
      <b/>
      <sz val="9"/>
      <color indexed="49"/>
      <name val="Geneva"/>
    </font>
    <font>
      <b/>
      <u/>
      <sz val="12"/>
      <color indexed="49"/>
      <name val="Geneva"/>
    </font>
    <font>
      <sz val="8"/>
      <color indexed="63"/>
      <name val="Arial"/>
      <family val="2"/>
    </font>
    <font>
      <sz val="9"/>
      <color indexed="63"/>
      <name val="Arial"/>
      <family val="2"/>
    </font>
    <font>
      <b/>
      <sz val="10"/>
      <color indexed="63"/>
      <name val="Arial"/>
      <family val="2"/>
    </font>
    <font>
      <sz val="10"/>
      <color indexed="63"/>
      <name val="Arial"/>
      <family val="2"/>
    </font>
    <font>
      <b/>
      <sz val="8"/>
      <color indexed="63"/>
      <name val="Arial"/>
      <family val="2"/>
    </font>
    <font>
      <b/>
      <sz val="9"/>
      <color indexed="63"/>
      <name val="Arial"/>
      <family val="2"/>
    </font>
    <font>
      <b/>
      <u/>
      <sz val="8"/>
      <color indexed="49"/>
      <name val="Geneva"/>
    </font>
    <font>
      <b/>
      <sz val="8"/>
      <color indexed="49"/>
      <name val="Arial"/>
      <family val="2"/>
    </font>
    <font>
      <b/>
      <sz val="16"/>
      <color indexed="49"/>
      <name val="Arial"/>
      <family val="2"/>
    </font>
    <font>
      <b/>
      <sz val="14"/>
      <color indexed="49"/>
      <name val="Geneva"/>
    </font>
    <font>
      <sz val="14"/>
      <color indexed="9"/>
      <name val="Times New Roman"/>
      <family val="1"/>
    </font>
    <font>
      <b/>
      <sz val="13"/>
      <color indexed="9"/>
      <name val="Arial"/>
      <family val="2"/>
    </font>
    <font>
      <sz val="14"/>
      <color indexed="9"/>
      <name val="Times New Roman"/>
      <family val="1"/>
    </font>
    <font>
      <sz val="11"/>
      <color theme="1"/>
      <name val="Calibri"/>
      <family val="2"/>
      <scheme val="minor"/>
    </font>
  </fonts>
  <fills count="8">
    <fill>
      <patternFill patternType="none"/>
    </fill>
    <fill>
      <patternFill patternType="gray125"/>
    </fill>
    <fill>
      <patternFill patternType="solid">
        <fgColor indexed="9"/>
      </patternFill>
    </fill>
    <fill>
      <patternFill patternType="solid">
        <fgColor indexed="9"/>
        <bgColor indexed="15"/>
      </patternFill>
    </fill>
    <fill>
      <patternFill patternType="solid">
        <fgColor indexed="8"/>
        <bgColor indexed="64"/>
      </patternFill>
    </fill>
    <fill>
      <patternFill patternType="solid">
        <fgColor indexed="49"/>
        <bgColor indexed="64"/>
      </patternFill>
    </fill>
    <fill>
      <patternFill patternType="solid">
        <fgColor indexed="30"/>
        <bgColor indexed="64"/>
      </patternFill>
    </fill>
    <fill>
      <patternFill patternType="solid">
        <fgColor indexed="9"/>
        <bgColor indexed="64"/>
      </patternFill>
    </fill>
  </fills>
  <borders count="3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Dashed">
        <color indexed="30"/>
      </top>
      <bottom/>
      <diagonal/>
    </border>
    <border>
      <left/>
      <right/>
      <top/>
      <bottom style="mediumDashed">
        <color indexed="30"/>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Dashed">
        <color indexed="30"/>
      </left>
      <right/>
      <top style="mediumDashed">
        <color indexed="30"/>
      </top>
      <bottom/>
      <diagonal/>
    </border>
    <border>
      <left style="medium">
        <color indexed="64"/>
      </left>
      <right/>
      <top style="mediumDashed">
        <color indexed="30"/>
      </top>
      <bottom/>
      <diagonal/>
    </border>
    <border>
      <left/>
      <right style="medium">
        <color indexed="64"/>
      </right>
      <top style="mediumDashed">
        <color indexed="30"/>
      </top>
      <bottom/>
      <diagonal/>
    </border>
    <border>
      <left style="mediumDashed">
        <color indexed="30"/>
      </left>
      <right/>
      <top/>
      <bottom/>
      <diagonal/>
    </border>
    <border>
      <left style="mediumDashed">
        <color indexed="30"/>
      </left>
      <right/>
      <top/>
      <bottom style="mediumDashed">
        <color indexed="30"/>
      </bottom>
      <diagonal/>
    </border>
    <border>
      <left style="medium">
        <color indexed="64"/>
      </left>
      <right/>
      <top/>
      <bottom style="mediumDashed">
        <color indexed="30"/>
      </bottom>
      <diagonal/>
    </border>
    <border>
      <left/>
      <right style="medium">
        <color indexed="64"/>
      </right>
      <top/>
      <bottom style="mediumDashed">
        <color indexed="30"/>
      </bottom>
      <diagonal/>
    </border>
    <border>
      <left/>
      <right style="mediumDashed">
        <color indexed="30"/>
      </right>
      <top/>
      <bottom/>
      <diagonal/>
    </border>
    <border>
      <left/>
      <right style="thin">
        <color indexed="64"/>
      </right>
      <top style="thin">
        <color indexed="64"/>
      </top>
      <bottom style="thin">
        <color indexed="64"/>
      </bottom>
      <diagonal/>
    </border>
    <border>
      <left/>
      <right/>
      <top/>
      <bottom style="double">
        <color indexed="64"/>
      </bottom>
      <diagonal/>
    </border>
    <border>
      <left/>
      <right style="mediumDashed">
        <color indexed="30"/>
      </right>
      <top/>
      <bottom style="mediumDashed">
        <color indexed="30"/>
      </bottom>
      <diagonal/>
    </border>
    <border>
      <left/>
      <right style="mediumDashed">
        <color indexed="30"/>
      </right>
      <top style="mediumDashed">
        <color indexed="30"/>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66" fillId="0" borderId="0"/>
    <xf numFmtId="0" fontId="19" fillId="0" borderId="0"/>
  </cellStyleXfs>
  <cellXfs count="449">
    <xf numFmtId="0" fontId="0" fillId="0" borderId="0" xfId="0"/>
    <xf numFmtId="0" fontId="4" fillId="0" borderId="0" xfId="0" applyFont="1"/>
    <xf numFmtId="0" fontId="4" fillId="0" borderId="0" xfId="0" applyFont="1" applyProtection="1">
      <protection hidden="1"/>
    </xf>
    <xf numFmtId="0" fontId="4" fillId="0" borderId="0" xfId="0" applyFont="1" applyAlignment="1" applyProtection="1">
      <alignment horizontal="left"/>
      <protection hidden="1"/>
    </xf>
    <xf numFmtId="0" fontId="4" fillId="0" borderId="0" xfId="0" applyFont="1" applyAlignment="1" applyProtection="1">
      <alignment horizontal="right"/>
      <protection hidden="1"/>
    </xf>
    <xf numFmtId="0" fontId="9" fillId="0" borderId="0" xfId="0" applyFont="1" applyFill="1" applyProtection="1">
      <protection hidden="1"/>
    </xf>
    <xf numFmtId="0" fontId="11" fillId="0" borderId="0" xfId="0" applyFont="1" applyFill="1" applyAlignment="1" applyProtection="1">
      <alignment horizontal="right" vertical="center"/>
      <protection hidden="1"/>
    </xf>
    <xf numFmtId="0" fontId="9" fillId="0" borderId="0" xfId="0" applyFont="1" applyProtection="1">
      <protection hidden="1"/>
    </xf>
    <xf numFmtId="0" fontId="9" fillId="0" borderId="0" xfId="0" applyFont="1" applyAlignment="1" applyProtection="1">
      <alignment vertical="center"/>
      <protection hidden="1"/>
    </xf>
    <xf numFmtId="0" fontId="11" fillId="0" borderId="0" xfId="0" applyFont="1" applyAlignment="1" applyProtection="1">
      <alignment horizontal="right" vertical="center"/>
      <protection hidden="1"/>
    </xf>
    <xf numFmtId="0" fontId="9" fillId="2" borderId="0" xfId="0" applyFont="1" applyFill="1" applyAlignment="1" applyProtection="1">
      <alignment horizontal="centerContinuous"/>
      <protection hidden="1"/>
    </xf>
    <xf numFmtId="0" fontId="4" fillId="2" borderId="0" xfId="0" applyFont="1" applyFill="1" applyProtection="1">
      <protection hidden="1"/>
    </xf>
    <xf numFmtId="0" fontId="9" fillId="2" borderId="0" xfId="0" applyFont="1" applyFill="1" applyProtection="1">
      <protection hidden="1"/>
    </xf>
    <xf numFmtId="0" fontId="9" fillId="2" borderId="0" xfId="0" applyFont="1" applyFill="1" applyAlignment="1" applyProtection="1">
      <alignment vertical="center"/>
      <protection hidden="1"/>
    </xf>
    <xf numFmtId="0" fontId="11" fillId="2" borderId="0" xfId="0" applyFont="1" applyFill="1" applyAlignment="1" applyProtection="1">
      <alignment horizontal="center" vertical="center"/>
      <protection hidden="1"/>
    </xf>
    <xf numFmtId="164" fontId="9" fillId="2" borderId="0" xfId="0" applyNumberFormat="1" applyFont="1" applyFill="1" applyBorder="1" applyAlignment="1" applyProtection="1">
      <alignment horizontal="left" vertical="center"/>
      <protection hidden="1"/>
    </xf>
    <xf numFmtId="14" fontId="4" fillId="2" borderId="0" xfId="0" applyNumberFormat="1" applyFont="1" applyFill="1" applyAlignment="1" applyProtection="1">
      <alignment vertical="center"/>
      <protection hidden="1"/>
    </xf>
    <xf numFmtId="0" fontId="5" fillId="3" borderId="0" xfId="0" applyFont="1" applyFill="1" applyProtection="1">
      <protection hidden="1"/>
    </xf>
    <xf numFmtId="0" fontId="4" fillId="2" borderId="0" xfId="0" applyFont="1" applyFill="1" applyAlignment="1" applyProtection="1">
      <alignment horizontal="right"/>
      <protection hidden="1"/>
    </xf>
    <xf numFmtId="0" fontId="4" fillId="2" borderId="0" xfId="0" applyFont="1" applyFill="1" applyAlignment="1" applyProtection="1">
      <alignment horizontal="center"/>
      <protection hidden="1"/>
    </xf>
    <xf numFmtId="0" fontId="5" fillId="0" borderId="0" xfId="0" applyFont="1" applyProtection="1">
      <protection hidden="1"/>
    </xf>
    <xf numFmtId="0" fontId="4" fillId="2" borderId="0" xfId="0" applyFont="1" applyFill="1" applyAlignment="1" applyProtection="1">
      <alignment horizontal="right" vertical="center"/>
      <protection hidden="1"/>
    </xf>
    <xf numFmtId="0" fontId="4" fillId="2" borderId="0" xfId="0" applyFont="1" applyFill="1" applyAlignment="1" applyProtection="1">
      <alignment horizontal="center" vertical="center"/>
      <protection hidden="1"/>
    </xf>
    <xf numFmtId="0" fontId="14" fillId="2" borderId="0" xfId="0" applyFont="1" applyFill="1" applyAlignment="1" applyProtection="1">
      <alignment horizontal="center"/>
      <protection hidden="1"/>
    </xf>
    <xf numFmtId="0" fontId="13" fillId="0" borderId="0" xfId="0" applyFont="1" applyFill="1" applyAlignment="1" applyProtection="1">
      <alignment horizontal="center" vertical="center" textRotation="90" wrapText="1"/>
      <protection hidden="1"/>
    </xf>
    <xf numFmtId="0" fontId="4" fillId="4" borderId="1" xfId="0" applyFont="1" applyFill="1" applyBorder="1" applyAlignment="1" applyProtection="1">
      <alignment horizontal="right" vertical="center"/>
      <protection hidden="1"/>
    </xf>
    <xf numFmtId="0" fontId="4" fillId="4" borderId="0" xfId="0" applyFont="1" applyFill="1" applyProtection="1">
      <protection hidden="1"/>
    </xf>
    <xf numFmtId="0" fontId="4" fillId="4" borderId="0"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4" borderId="3" xfId="0" applyFont="1" applyFill="1" applyBorder="1" applyAlignment="1" applyProtection="1">
      <alignment horizontal="right" vertical="center"/>
      <protection hidden="1"/>
    </xf>
    <xf numFmtId="0" fontId="13" fillId="0" borderId="0" xfId="0" applyFont="1" applyBorder="1" applyAlignment="1" applyProtection="1">
      <alignment horizontal="left" vertical="center" wrapText="1"/>
      <protection hidden="1"/>
    </xf>
    <xf numFmtId="0" fontId="4" fillId="4" borderId="3" xfId="0" applyFont="1" applyFill="1" applyBorder="1" applyProtection="1">
      <protection hidden="1"/>
    </xf>
    <xf numFmtId="0" fontId="4" fillId="0" borderId="0" xfId="0" applyFont="1" applyBorder="1" applyProtection="1">
      <protection hidden="1"/>
    </xf>
    <xf numFmtId="0" fontId="4" fillId="4" borderId="4" xfId="0" applyFont="1" applyFill="1" applyBorder="1" applyAlignment="1" applyProtection="1">
      <alignment horizontal="right" vertical="center"/>
      <protection hidden="1"/>
    </xf>
    <xf numFmtId="0" fontId="4" fillId="4" borderId="0" xfId="0" applyFont="1" applyFill="1" applyBorder="1" applyAlignment="1" applyProtection="1">
      <alignment horizontal="right" vertical="center"/>
      <protection hidden="1"/>
    </xf>
    <xf numFmtId="0" fontId="4" fillId="4" borderId="0" xfId="0" applyFont="1" applyFill="1" applyAlignment="1" applyProtection="1">
      <alignment horizontal="left" vertical="center"/>
      <protection hidden="1"/>
    </xf>
    <xf numFmtId="0" fontId="4" fillId="4" borderId="0" xfId="0" applyFont="1" applyFill="1" applyAlignment="1" applyProtection="1">
      <alignment horizontal="right" vertical="center"/>
      <protection hidden="1"/>
    </xf>
    <xf numFmtId="0" fontId="4" fillId="2" borderId="0" xfId="0" applyFont="1" applyFill="1" applyBorder="1" applyAlignment="1" applyProtection="1">
      <alignment horizontal="center" vertical="center"/>
      <protection hidden="1"/>
    </xf>
    <xf numFmtId="0" fontId="8" fillId="0" borderId="0" xfId="0" applyFont="1" applyFill="1" applyAlignment="1" applyProtection="1">
      <alignment vertical="center" textRotation="90"/>
      <protection hidden="1"/>
    </xf>
    <xf numFmtId="0" fontId="4" fillId="4" borderId="0" xfId="0" applyFont="1" applyFill="1" applyBorder="1" applyProtection="1">
      <protection hidden="1"/>
    </xf>
    <xf numFmtId="0" fontId="4" fillId="0" borderId="0" xfId="0" applyFont="1" applyFill="1" applyProtection="1">
      <protection hidden="1"/>
    </xf>
    <xf numFmtId="0" fontId="4" fillId="0" borderId="0" xfId="0" applyFont="1" applyAlignment="1" applyProtection="1">
      <alignment vertical="center"/>
      <protection hidden="1"/>
    </xf>
    <xf numFmtId="0" fontId="4" fillId="2" borderId="0" xfId="0" applyFont="1" applyFill="1" applyAlignment="1" applyProtection="1">
      <alignment vertical="center"/>
      <protection hidden="1"/>
    </xf>
    <xf numFmtId="0" fontId="0" fillId="0" borderId="0" xfId="0" applyProtection="1">
      <protection hidden="1"/>
    </xf>
    <xf numFmtId="0" fontId="4" fillId="0" borderId="5"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wrapText="1"/>
      <protection hidden="1"/>
    </xf>
    <xf numFmtId="0" fontId="4" fillId="0" borderId="9" xfId="0" applyFont="1" applyBorder="1" applyAlignment="1" applyProtection="1">
      <alignment vertical="center" wrapText="1"/>
      <protection hidden="1"/>
    </xf>
    <xf numFmtId="0" fontId="4" fillId="0" borderId="1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4" fillId="0" borderId="0"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3" fillId="0" borderId="0" xfId="0" applyFont="1" applyAlignment="1" applyProtection="1">
      <alignment vertical="center"/>
      <protection hidden="1"/>
    </xf>
    <xf numFmtId="0" fontId="4" fillId="0" borderId="0" xfId="0" applyFont="1" applyBorder="1" applyAlignment="1" applyProtection="1">
      <protection hidden="1"/>
    </xf>
    <xf numFmtId="0" fontId="4" fillId="0" borderId="11" xfId="0" applyFont="1" applyBorder="1" applyAlignment="1" applyProtection="1">
      <protection hidden="1"/>
    </xf>
    <xf numFmtId="0" fontId="4" fillId="0" borderId="5" xfId="0" applyFont="1" applyBorder="1" applyProtection="1">
      <protection hidden="1"/>
    </xf>
    <xf numFmtId="0" fontId="4" fillId="0" borderId="6" xfId="0" applyFont="1" applyBorder="1" applyProtection="1">
      <protection hidden="1"/>
    </xf>
    <xf numFmtId="0" fontId="4" fillId="0" borderId="7" xfId="0" applyFont="1" applyBorder="1" applyProtection="1">
      <protection hidden="1"/>
    </xf>
    <xf numFmtId="0" fontId="4" fillId="0" borderId="8" xfId="0" applyFont="1" applyBorder="1" applyProtection="1">
      <protection hidden="1"/>
    </xf>
    <xf numFmtId="0" fontId="4" fillId="0" borderId="9" xfId="0" applyFont="1" applyBorder="1" applyProtection="1">
      <protection hidden="1"/>
    </xf>
    <xf numFmtId="0" fontId="4" fillId="0" borderId="10" xfId="0" applyFont="1" applyBorder="1" applyProtection="1">
      <protection hidden="1"/>
    </xf>
    <xf numFmtId="0" fontId="4" fillId="0" borderId="0" xfId="0" quotePrefix="1" applyFont="1" applyBorder="1" applyAlignment="1" applyProtection="1">
      <alignment horizontal="center" vertical="center"/>
      <protection hidden="1"/>
    </xf>
    <xf numFmtId="0" fontId="3" fillId="0" borderId="0" xfId="0" applyFont="1" applyAlignment="1" applyProtection="1">
      <alignment horizontal="right"/>
      <protection hidden="1"/>
    </xf>
    <xf numFmtId="0" fontId="6" fillId="0" borderId="0" xfId="0" applyFont="1" applyAlignment="1" applyProtection="1">
      <alignment horizontal="center"/>
      <protection hidden="1"/>
    </xf>
    <xf numFmtId="1" fontId="4" fillId="0" borderId="0" xfId="0" applyNumberFormat="1" applyFont="1" applyAlignment="1" applyProtection="1">
      <alignment horizontal="center" vertical="center"/>
      <protection hidden="1"/>
    </xf>
    <xf numFmtId="164" fontId="4" fillId="0" borderId="0" xfId="0" applyNumberFormat="1" applyFont="1" applyAlignment="1" applyProtection="1">
      <alignment horizontal="right" vertical="center"/>
      <protection hidden="1"/>
    </xf>
    <xf numFmtId="0" fontId="14" fillId="0" borderId="0" xfId="0" applyFont="1" applyProtection="1">
      <protection hidden="1"/>
    </xf>
    <xf numFmtId="0" fontId="4" fillId="4" borderId="0" xfId="0" applyFont="1" applyFill="1" applyAlignment="1" applyProtection="1">
      <alignment vertical="center"/>
      <protection hidden="1"/>
    </xf>
    <xf numFmtId="0" fontId="4" fillId="4" borderId="0" xfId="0" applyFont="1" applyFill="1" applyAlignment="1" applyProtection="1">
      <alignment horizontal="center" vertical="center"/>
      <protection hidden="1"/>
    </xf>
    <xf numFmtId="0" fontId="13" fillId="0" borderId="0" xfId="0" applyFont="1" applyAlignment="1" applyProtection="1">
      <alignment vertical="center" textRotation="90"/>
      <protection hidden="1"/>
    </xf>
    <xf numFmtId="0" fontId="4" fillId="0" borderId="0" xfId="0" applyFont="1" applyAlignment="1" applyProtection="1">
      <protection hidden="1"/>
    </xf>
    <xf numFmtId="0" fontId="0" fillId="0" borderId="0" xfId="0" applyBorder="1" applyProtection="1">
      <protection hidden="1"/>
    </xf>
    <xf numFmtId="0" fontId="9" fillId="0" borderId="0" xfId="0" applyFont="1" applyBorder="1" applyProtection="1">
      <protection hidden="1"/>
    </xf>
    <xf numFmtId="0" fontId="11" fillId="0" borderId="0" xfId="0" applyFont="1" applyAlignment="1" applyProtection="1">
      <alignment horizontal="right" vertical="center" wrapText="1"/>
      <protection hidden="1"/>
    </xf>
    <xf numFmtId="0" fontId="9" fillId="0" borderId="12" xfId="0" applyFont="1" applyBorder="1" applyProtection="1">
      <protection hidden="1"/>
    </xf>
    <xf numFmtId="0" fontId="11" fillId="0" borderId="12" xfId="0" applyFont="1" applyBorder="1" applyAlignment="1" applyProtection="1">
      <alignment horizontal="center"/>
      <protection hidden="1"/>
    </xf>
    <xf numFmtId="0" fontId="17" fillId="0" borderId="0" xfId="0" applyFont="1" applyFill="1" applyBorder="1" applyAlignment="1" applyProtection="1">
      <alignment horizontal="right" vertical="center" wrapText="1"/>
      <protection hidden="1"/>
    </xf>
    <xf numFmtId="0" fontId="9" fillId="0" borderId="0" xfId="0" applyFont="1" applyFill="1" applyAlignment="1" applyProtection="1">
      <alignment horizontal="right" vertical="center"/>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horizontal="center"/>
      <protection hidden="1"/>
    </xf>
    <xf numFmtId="0" fontId="9" fillId="0" borderId="0" xfId="0" applyFont="1" applyAlignment="1" applyProtection="1">
      <alignment horizontal="right" vertical="center"/>
      <protection hidden="1"/>
    </xf>
    <xf numFmtId="0" fontId="9" fillId="0" borderId="0" xfId="0" applyFont="1" applyAlignment="1" applyProtection="1">
      <protection hidden="1"/>
    </xf>
    <xf numFmtId="0" fontId="9" fillId="0" borderId="0" xfId="0" applyFont="1" applyFill="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1" fontId="4" fillId="0" borderId="2" xfId="0" applyNumberFormat="1" applyFont="1" applyBorder="1" applyAlignment="1" applyProtection="1">
      <alignment horizontal="center"/>
      <protection hidden="1"/>
    </xf>
    <xf numFmtId="164" fontId="4" fillId="0" borderId="2" xfId="0" applyNumberFormat="1" applyFont="1" applyBorder="1" applyAlignment="1" applyProtection="1">
      <alignment horizontal="center"/>
      <protection hidden="1"/>
    </xf>
    <xf numFmtId="1" fontId="4" fillId="0" borderId="0" xfId="0" applyNumberFormat="1" applyFont="1" applyAlignment="1" applyProtection="1">
      <alignment horizontal="center"/>
      <protection hidden="1"/>
    </xf>
    <xf numFmtId="1" fontId="4" fillId="0" borderId="0" xfId="0" applyNumberFormat="1" applyFont="1" applyBorder="1" applyAlignment="1" applyProtection="1">
      <alignment horizontal="center"/>
      <protection hidden="1"/>
    </xf>
    <xf numFmtId="0" fontId="4" fillId="0" borderId="2" xfId="0" applyFont="1" applyBorder="1" applyAlignment="1" applyProtection="1">
      <alignment horizontal="center"/>
      <protection locked="0" hidden="1"/>
    </xf>
    <xf numFmtId="0" fontId="9"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19" fillId="0" borderId="0" xfId="0" applyFont="1" applyAlignment="1">
      <alignment wrapText="1"/>
    </xf>
    <xf numFmtId="0" fontId="19" fillId="0" borderId="13" xfId="0" applyFont="1" applyBorder="1" applyAlignment="1">
      <alignment vertical="center"/>
    </xf>
    <xf numFmtId="0" fontId="19" fillId="0" borderId="14" xfId="0" applyFont="1" applyBorder="1" applyAlignment="1">
      <alignment vertical="center"/>
    </xf>
    <xf numFmtId="0" fontId="19" fillId="0" borderId="14" xfId="0" applyFont="1" applyBorder="1" applyAlignment="1">
      <alignment horizontal="right" vertical="center" wrapText="1"/>
    </xf>
    <xf numFmtId="0" fontId="11" fillId="0" borderId="13" xfId="0" applyFont="1" applyBorder="1" applyAlignment="1">
      <alignment horizontal="right" vertical="center" wrapText="1"/>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9" fillId="0" borderId="15" xfId="0" applyFont="1" applyBorder="1" applyAlignment="1">
      <alignment vertical="center" wrapText="1"/>
    </xf>
    <xf numFmtId="0" fontId="9" fillId="0" borderId="13" xfId="0" applyFont="1" applyBorder="1" applyAlignment="1">
      <alignment vertical="center" wrapText="1"/>
    </xf>
    <xf numFmtId="0" fontId="9" fillId="0" borderId="13" xfId="0" applyFont="1" applyBorder="1" applyAlignment="1">
      <alignment vertical="center"/>
    </xf>
    <xf numFmtId="0" fontId="9" fillId="0" borderId="14" xfId="0" applyFont="1" applyBorder="1" applyAlignment="1">
      <alignment horizontal="right" vertical="center" wrapText="1"/>
    </xf>
    <xf numFmtId="0" fontId="9" fillId="0" borderId="17" xfId="0" applyFont="1" applyBorder="1" applyAlignment="1">
      <alignment vertical="center" wrapText="1"/>
    </xf>
    <xf numFmtId="0" fontId="9" fillId="0" borderId="14" xfId="0" applyFont="1" applyBorder="1" applyAlignment="1">
      <alignment vertical="center"/>
    </xf>
    <xf numFmtId="0" fontId="9" fillId="0" borderId="13" xfId="0" applyFont="1" applyBorder="1" applyAlignment="1">
      <alignment horizontal="right" vertical="center" wrapText="1"/>
    </xf>
    <xf numFmtId="0" fontId="9" fillId="0" borderId="14" xfId="0" applyFont="1" applyBorder="1" applyAlignment="1">
      <alignment horizontal="center" vertical="center" wrapText="1"/>
    </xf>
    <xf numFmtId="0" fontId="9" fillId="0" borderId="15" xfId="0" applyFont="1" applyBorder="1" applyAlignment="1">
      <alignment vertical="center"/>
    </xf>
    <xf numFmtId="0" fontId="9" fillId="0" borderId="16" xfId="0" applyFont="1" applyBorder="1" applyAlignment="1">
      <alignment vertical="center"/>
    </xf>
    <xf numFmtId="0" fontId="9" fillId="0" borderId="15" xfId="0" applyFont="1" applyBorder="1" applyAlignment="1">
      <alignment vertical="center" wrapText="1"/>
    </xf>
    <xf numFmtId="0" fontId="9" fillId="0" borderId="17" xfId="0" applyFont="1" applyBorder="1" applyAlignment="1">
      <alignment horizontal="right" vertical="center" wrapText="1"/>
    </xf>
    <xf numFmtId="0" fontId="9" fillId="0" borderId="18" xfId="0" applyFont="1" applyBorder="1" applyAlignment="1">
      <alignment vertical="center" wrapText="1"/>
    </xf>
    <xf numFmtId="0" fontId="9" fillId="0" borderId="11" xfId="0" applyFont="1" applyBorder="1" applyAlignment="1">
      <alignment horizontal="center" vertical="center" wrapText="1"/>
    </xf>
    <xf numFmtId="0" fontId="9" fillId="0" borderId="18" xfId="0" applyFont="1" applyBorder="1" applyAlignment="1">
      <alignment horizontal="right" vertical="center" wrapText="1"/>
    </xf>
    <xf numFmtId="0" fontId="9" fillId="0" borderId="18" xfId="0" applyFont="1" applyBorder="1" applyAlignment="1">
      <alignment vertical="center"/>
    </xf>
    <xf numFmtId="0" fontId="9" fillId="0" borderId="0" xfId="0" applyFont="1" applyAlignment="1">
      <alignment vertical="center"/>
    </xf>
    <xf numFmtId="0" fontId="9" fillId="0" borderId="17" xfId="0" applyFont="1" applyBorder="1" applyAlignment="1">
      <alignment vertical="center"/>
    </xf>
    <xf numFmtId="0" fontId="9" fillId="0" borderId="11" xfId="0" applyFont="1" applyBorder="1" applyAlignment="1">
      <alignment vertical="center"/>
    </xf>
    <xf numFmtId="0" fontId="9" fillId="0" borderId="0" xfId="0" applyFont="1" applyAlignment="1" applyProtection="1">
      <alignment horizontal="left"/>
      <protection hidden="1"/>
    </xf>
    <xf numFmtId="0" fontId="0" fillId="0" borderId="0" xfId="0" applyAlignment="1">
      <alignment horizontal="left"/>
    </xf>
    <xf numFmtId="0" fontId="2" fillId="0" borderId="0" xfId="0" applyFont="1"/>
    <xf numFmtId="0" fontId="2" fillId="0" borderId="15" xfId="0" applyFont="1" applyBorder="1"/>
    <xf numFmtId="0" fontId="2" fillId="0" borderId="12" xfId="0" applyFont="1" applyBorder="1"/>
    <xf numFmtId="0" fontId="19" fillId="0" borderId="14" xfId="0" applyFont="1" applyBorder="1" applyAlignment="1">
      <alignment vertical="center" wrapText="1"/>
    </xf>
    <xf numFmtId="0" fontId="20" fillId="0" borderId="13" xfId="0" applyFont="1" applyBorder="1" applyAlignment="1">
      <alignment horizontal="right" vertical="center" wrapText="1"/>
    </xf>
    <xf numFmtId="0" fontId="19" fillId="0" borderId="16" xfId="0" applyFont="1" applyBorder="1" applyAlignment="1">
      <alignment horizontal="right" vertical="center" wrapText="1"/>
    </xf>
    <xf numFmtId="0" fontId="0" fillId="0" borderId="0" xfId="0" applyAlignment="1">
      <alignment vertical="center"/>
    </xf>
    <xf numFmtId="0" fontId="9" fillId="0" borderId="0"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Border="1" applyProtection="1">
      <protection hidden="1"/>
    </xf>
    <xf numFmtId="0" fontId="4" fillId="0" borderId="0" xfId="0" applyFont="1" applyAlignment="1">
      <alignment horizontal="center"/>
    </xf>
    <xf numFmtId="0" fontId="20" fillId="0" borderId="12" xfId="0" applyFont="1" applyBorder="1" applyAlignment="1">
      <alignment vertical="center" wrapText="1"/>
    </xf>
    <xf numFmtId="2" fontId="11" fillId="0" borderId="12" xfId="0" applyNumberFormat="1" applyFont="1" applyBorder="1" applyAlignment="1">
      <alignment vertical="center" wrapText="1"/>
    </xf>
    <xf numFmtId="1" fontId="3" fillId="0" borderId="0" xfId="0" applyNumberFormat="1" applyFont="1" applyAlignment="1">
      <alignment horizontal="center"/>
    </xf>
    <xf numFmtId="0" fontId="2" fillId="0" borderId="0" xfId="0" applyFont="1" applyBorder="1"/>
    <xf numFmtId="0" fontId="20" fillId="0" borderId="0" xfId="0" applyFont="1" applyBorder="1" applyAlignment="1">
      <alignment horizontal="center" vertical="center" textRotation="90" wrapText="1"/>
    </xf>
    <xf numFmtId="0" fontId="11" fillId="0" borderId="0" xfId="0" applyFont="1" applyBorder="1" applyAlignment="1">
      <alignment horizontal="right" vertical="center" wrapText="1"/>
    </xf>
    <xf numFmtId="164" fontId="11" fillId="0" borderId="0" xfId="0" applyNumberFormat="1" applyFont="1" applyBorder="1" applyAlignment="1">
      <alignment horizontal="center" vertical="center" wrapText="1"/>
    </xf>
    <xf numFmtId="0" fontId="24" fillId="2" borderId="0" xfId="0" applyFont="1" applyFill="1" applyBorder="1" applyAlignment="1" applyProtection="1">
      <alignment vertical="center"/>
      <protection locked="0" hidden="1"/>
    </xf>
    <xf numFmtId="0" fontId="21" fillId="4" borderId="0" xfId="0" applyFont="1" applyFill="1" applyBorder="1" applyAlignment="1" applyProtection="1">
      <alignment horizontal="center" vertical="center"/>
      <protection locked="0" hidden="1"/>
    </xf>
    <xf numFmtId="0" fontId="4" fillId="5" borderId="0" xfId="0" applyFont="1" applyFill="1" applyProtection="1">
      <protection hidden="1"/>
    </xf>
    <xf numFmtId="0" fontId="10" fillId="5" borderId="0" xfId="0" applyFont="1" applyFill="1" applyBorder="1" applyAlignment="1" applyProtection="1">
      <alignment horizontal="center" vertical="center"/>
      <protection hidden="1"/>
    </xf>
    <xf numFmtId="0" fontId="10" fillId="5" borderId="0" xfId="0" applyFont="1" applyFill="1" applyBorder="1" applyAlignment="1" applyProtection="1">
      <alignment horizontal="center" vertical="center" wrapText="1"/>
      <protection hidden="1"/>
    </xf>
    <xf numFmtId="0" fontId="33" fillId="0" borderId="0" xfId="0" applyFont="1" applyProtection="1">
      <protection hidden="1"/>
    </xf>
    <xf numFmtId="0" fontId="33" fillId="2" borderId="0" xfId="0" applyFont="1" applyFill="1" applyProtection="1">
      <protection hidden="1"/>
    </xf>
    <xf numFmtId="0" fontId="33" fillId="2" borderId="0" xfId="0" applyFont="1" applyFill="1" applyAlignment="1" applyProtection="1">
      <alignment horizontal="center"/>
      <protection hidden="1"/>
    </xf>
    <xf numFmtId="0" fontId="33" fillId="0" borderId="0" xfId="0" applyFont="1" applyBorder="1" applyProtection="1">
      <protection hidden="1"/>
    </xf>
    <xf numFmtId="0" fontId="33" fillId="0" borderId="0" xfId="0" applyFont="1" applyAlignment="1" applyProtection="1">
      <alignment vertical="center"/>
      <protection hidden="1"/>
    </xf>
    <xf numFmtId="0" fontId="34" fillId="0" borderId="0" xfId="0" applyFont="1" applyProtection="1">
      <protection hidden="1"/>
    </xf>
    <xf numFmtId="0" fontId="35" fillId="2" borderId="0" xfId="0" applyFont="1" applyFill="1" applyAlignment="1" applyProtection="1">
      <alignment horizontal="right" vertical="center"/>
      <protection hidden="1"/>
    </xf>
    <xf numFmtId="0" fontId="36" fillId="5" borderId="0" xfId="0" applyFont="1" applyFill="1" applyBorder="1" applyAlignment="1" applyProtection="1">
      <alignment horizontal="center" vertical="center"/>
      <protection hidden="1"/>
    </xf>
    <xf numFmtId="0" fontId="35" fillId="2" borderId="0" xfId="0" applyFont="1" applyFill="1" applyAlignment="1" applyProtection="1">
      <alignment horizontal="center" vertical="center"/>
      <protection hidden="1"/>
    </xf>
    <xf numFmtId="0" fontId="37" fillId="0" borderId="0" xfId="0" applyFont="1" applyProtection="1">
      <protection hidden="1"/>
    </xf>
    <xf numFmtId="0" fontId="35" fillId="2" borderId="0" xfId="0" applyFont="1" applyFill="1" applyAlignment="1" applyProtection="1">
      <alignment horizontal="left" vertical="center"/>
      <protection hidden="1"/>
    </xf>
    <xf numFmtId="0" fontId="9" fillId="0" borderId="19" xfId="0" applyFont="1" applyBorder="1" applyAlignment="1" applyProtection="1">
      <alignment vertical="center"/>
      <protection hidden="1"/>
    </xf>
    <xf numFmtId="0" fontId="12" fillId="0" borderId="20" xfId="0" applyFont="1" applyBorder="1" applyAlignment="1" applyProtection="1">
      <alignment vertical="center"/>
      <protection hidden="1"/>
    </xf>
    <xf numFmtId="0" fontId="9" fillId="0" borderId="19" xfId="0" applyFont="1" applyBorder="1" applyProtection="1">
      <protection hidden="1"/>
    </xf>
    <xf numFmtId="0" fontId="9" fillId="0" borderId="0" xfId="0" applyFont="1" applyAlignment="1" applyProtection="1">
      <alignment horizontal="left" vertical="center"/>
      <protection hidden="1"/>
    </xf>
    <xf numFmtId="164" fontId="4" fillId="4" borderId="0" xfId="0" applyNumberFormat="1" applyFont="1" applyFill="1" applyAlignment="1" applyProtection="1">
      <alignment horizontal="center" vertical="center"/>
      <protection hidden="1"/>
    </xf>
    <xf numFmtId="0" fontId="28" fillId="0" borderId="0" xfId="0" applyFont="1" applyAlignment="1" applyProtection="1">
      <alignment vertical="center"/>
      <protection hidden="1"/>
    </xf>
    <xf numFmtId="0" fontId="28" fillId="0" borderId="0" xfId="0" applyFont="1" applyProtection="1">
      <protection hidden="1"/>
    </xf>
    <xf numFmtId="2" fontId="4" fillId="0" borderId="0" xfId="0" applyNumberFormat="1" applyFont="1" applyProtection="1">
      <protection hidden="1"/>
    </xf>
    <xf numFmtId="2" fontId="4" fillId="0" borderId="0" xfId="0" applyNumberFormat="1" applyFont="1" applyAlignment="1" applyProtection="1">
      <alignment horizontal="center" vertical="center"/>
      <protection hidden="1"/>
    </xf>
    <xf numFmtId="2" fontId="4" fillId="0" borderId="0" xfId="0" applyNumberFormat="1" applyFont="1" applyAlignment="1" applyProtection="1">
      <alignment vertical="center"/>
      <protection hidden="1"/>
    </xf>
    <xf numFmtId="2" fontId="4" fillId="0" borderId="0" xfId="0" applyNumberFormat="1" applyFont="1" applyAlignment="1" applyProtection="1">
      <alignment horizontal="right" vertical="center"/>
      <protection hidden="1"/>
    </xf>
    <xf numFmtId="2" fontId="4" fillId="0" borderId="0" xfId="0" applyNumberFormat="1" applyFont="1" applyBorder="1" applyAlignment="1" applyProtection="1">
      <alignment vertical="center"/>
      <protection hidden="1"/>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15" fillId="6" borderId="0" xfId="0" applyFont="1" applyFill="1" applyAlignment="1" applyProtection="1">
      <alignment horizontal="left"/>
      <protection hidden="1"/>
    </xf>
    <xf numFmtId="0" fontId="16" fillId="6" borderId="0" xfId="0" applyFont="1" applyFill="1" applyAlignment="1" applyProtection="1">
      <alignment horizontal="left"/>
      <protection hidden="1"/>
    </xf>
    <xf numFmtId="0" fontId="4" fillId="0" borderId="2" xfId="0" applyFont="1" applyFill="1" applyBorder="1" applyAlignment="1" applyProtection="1">
      <alignment horizontal="center"/>
      <protection hidden="1"/>
    </xf>
    <xf numFmtId="0" fontId="0" fillId="6" borderId="0" xfId="0" applyFill="1" applyProtection="1">
      <protection hidden="1"/>
    </xf>
    <xf numFmtId="0" fontId="4" fillId="7" borderId="0" xfId="0" applyFont="1" applyFill="1" applyProtection="1">
      <protection hidden="1"/>
    </xf>
    <xf numFmtId="1" fontId="4" fillId="7" borderId="0" xfId="0" applyNumberFormat="1" applyFont="1" applyFill="1" applyAlignment="1" applyProtection="1">
      <alignment horizontal="center"/>
      <protection hidden="1"/>
    </xf>
    <xf numFmtId="0" fontId="0" fillId="0" borderId="0" xfId="0" applyAlignment="1" applyProtection="1">
      <alignment vertical="center"/>
      <protection hidden="1"/>
    </xf>
    <xf numFmtId="0" fontId="4" fillId="0" borderId="0" xfId="0" applyFont="1" applyAlignment="1" applyProtection="1">
      <alignment horizontal="left" vertical="center"/>
      <protection hidden="1"/>
    </xf>
    <xf numFmtId="0" fontId="34" fillId="0" borderId="0" xfId="0" applyFont="1" applyAlignment="1" applyProtection="1">
      <alignment vertical="center"/>
      <protection hidden="1"/>
    </xf>
    <xf numFmtId="0" fontId="38" fillId="0" borderId="0" xfId="0" applyFont="1"/>
    <xf numFmtId="0" fontId="39" fillId="0" borderId="0" xfId="0" applyFont="1"/>
    <xf numFmtId="0" fontId="39" fillId="0" borderId="0" xfId="0" applyFont="1" applyAlignment="1">
      <alignment horizontal="right"/>
    </xf>
    <xf numFmtId="0" fontId="39" fillId="0" borderId="0" xfId="0" applyFont="1" applyAlignment="1">
      <alignment horizontal="left"/>
    </xf>
    <xf numFmtId="0" fontId="40" fillId="0" borderId="0" xfId="0" applyFont="1" applyProtection="1">
      <protection hidden="1"/>
    </xf>
    <xf numFmtId="0" fontId="41" fillId="0" borderId="0" xfId="0" applyFont="1" applyProtection="1">
      <protection hidden="1"/>
    </xf>
    <xf numFmtId="0" fontId="42" fillId="0" borderId="0" xfId="0" applyFont="1"/>
    <xf numFmtId="0" fontId="42" fillId="0" borderId="0" xfId="0" applyFont="1" applyBorder="1"/>
    <xf numFmtId="164" fontId="43" fillId="0" borderId="0" xfId="0" applyNumberFormat="1" applyFont="1" applyBorder="1" applyAlignment="1">
      <alignment horizontal="center" vertical="center" wrapText="1"/>
    </xf>
    <xf numFmtId="1" fontId="44" fillId="0" borderId="0" xfId="0" applyNumberFormat="1" applyFont="1" applyAlignment="1">
      <alignment horizontal="center"/>
    </xf>
    <xf numFmtId="0" fontId="45" fillId="0" borderId="0" xfId="0" applyFont="1"/>
    <xf numFmtId="2" fontId="43" fillId="0" borderId="0" xfId="0" applyNumberFormat="1" applyFont="1" applyBorder="1" applyAlignment="1">
      <alignment horizontal="center" vertical="center" wrapText="1"/>
    </xf>
    <xf numFmtId="0" fontId="42" fillId="0" borderId="12" xfId="0" applyFont="1" applyBorder="1"/>
    <xf numFmtId="0" fontId="0" fillId="0" borderId="14"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46" fillId="6" borderId="21" xfId="0" applyFont="1" applyFill="1" applyBorder="1" applyAlignment="1">
      <alignment horizontal="center" vertical="center" textRotation="90" wrapText="1"/>
    </xf>
    <xf numFmtId="0" fontId="9" fillId="0" borderId="0" xfId="0" applyFont="1" applyFill="1" applyAlignment="1" applyProtection="1">
      <alignment vertical="center" wrapText="1"/>
      <protection hidden="1"/>
    </xf>
    <xf numFmtId="0" fontId="4" fillId="4" borderId="0" xfId="0" applyFont="1" applyFill="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35" fillId="0" borderId="22"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2" borderId="0" xfId="0" applyFont="1" applyFill="1" applyAlignment="1" applyProtection="1">
      <alignment horizontal="left"/>
      <protection hidden="1"/>
    </xf>
    <xf numFmtId="0" fontId="35" fillId="0" borderId="0" xfId="0" applyFont="1" applyBorder="1" applyAlignment="1" applyProtection="1">
      <alignment horizontal="left" vertical="center" wrapText="1"/>
      <protection hidden="1"/>
    </xf>
    <xf numFmtId="0" fontId="4" fillId="0" borderId="0" xfId="0" applyFont="1" applyAlignment="1" applyProtection="1">
      <alignment horizontal="center"/>
      <protection hidden="1"/>
    </xf>
    <xf numFmtId="0" fontId="3" fillId="0" borderId="0" xfId="0" applyFont="1" applyBorder="1" applyAlignment="1" applyProtection="1">
      <alignment horizontal="center" vertical="center"/>
      <protection hidden="1"/>
    </xf>
    <xf numFmtId="0" fontId="10" fillId="5" borderId="0" xfId="0" applyFont="1" applyFill="1" applyAlignment="1" applyProtection="1">
      <alignment horizontal="center" vertical="center"/>
      <protection hidden="1"/>
    </xf>
    <xf numFmtId="0" fontId="4" fillId="0" borderId="2" xfId="0" applyFont="1" applyBorder="1" applyAlignment="1" applyProtection="1">
      <alignment horizontal="center"/>
      <protection hidden="1"/>
    </xf>
    <xf numFmtId="0" fontId="47" fillId="0" borderId="0" xfId="0" applyFont="1" applyAlignment="1" applyProtection="1">
      <alignment wrapText="1"/>
      <protection hidden="1"/>
    </xf>
    <xf numFmtId="0" fontId="48" fillId="0" borderId="0" xfId="0" applyFont="1" applyAlignment="1" applyProtection="1">
      <alignment horizontal="center" wrapText="1"/>
      <protection hidden="1"/>
    </xf>
    <xf numFmtId="0" fontId="11" fillId="0" borderId="0" xfId="0" applyFont="1" applyProtection="1">
      <protection hidden="1"/>
    </xf>
    <xf numFmtId="0" fontId="1" fillId="0" borderId="0" xfId="0" applyFont="1" applyProtection="1">
      <protection hidden="1"/>
    </xf>
    <xf numFmtId="0" fontId="11" fillId="0" borderId="0" xfId="0" applyFont="1" applyAlignment="1" applyProtection="1">
      <alignment horizontal="left" wrapText="1"/>
      <protection hidden="1"/>
    </xf>
    <xf numFmtId="0" fontId="49" fillId="0" borderId="0" xfId="0" applyFont="1" applyProtection="1">
      <protection locked="0" hidden="1"/>
    </xf>
    <xf numFmtId="0" fontId="49" fillId="2" borderId="0" xfId="0" applyFont="1" applyFill="1" applyAlignment="1" applyProtection="1">
      <alignment horizontal="right" vertical="center"/>
      <protection hidden="1"/>
    </xf>
    <xf numFmtId="0" fontId="41" fillId="0" borderId="0" xfId="0" applyFont="1" applyAlignment="1" applyProtection="1">
      <alignment horizontal="center"/>
      <protection hidden="1"/>
    </xf>
    <xf numFmtId="0" fontId="49" fillId="0" borderId="0" xfId="0" applyFont="1" applyProtection="1">
      <protection hidden="1"/>
    </xf>
    <xf numFmtId="0" fontId="49" fillId="0" borderId="0" xfId="0" applyFont="1" applyAlignment="1" applyProtection="1">
      <alignment horizontal="center"/>
      <protection hidden="1"/>
    </xf>
    <xf numFmtId="0" fontId="49" fillId="2" borderId="0" xfId="0" applyFont="1" applyFill="1" applyProtection="1">
      <protection hidden="1"/>
    </xf>
    <xf numFmtId="0" fontId="49" fillId="4" borderId="0" xfId="0" applyFont="1" applyFill="1" applyAlignment="1" applyProtection="1">
      <alignment vertical="center"/>
      <protection hidden="1"/>
    </xf>
    <xf numFmtId="0" fontId="49" fillId="0" borderId="0" xfId="0" applyFont="1" applyAlignment="1" applyProtection="1">
      <alignment horizontal="right"/>
      <protection hidden="1"/>
    </xf>
    <xf numFmtId="0" fontId="39" fillId="0" borderId="0" xfId="0" applyFont="1" applyProtection="1">
      <protection hidden="1"/>
    </xf>
    <xf numFmtId="0" fontId="39" fillId="0" borderId="0" xfId="0" applyFont="1" applyAlignment="1" applyProtection="1">
      <alignment horizontal="right"/>
      <protection hidden="1"/>
    </xf>
    <xf numFmtId="0" fontId="49" fillId="0" borderId="0" xfId="0" applyFont="1" applyAlignment="1" applyProtection="1">
      <alignment horizontal="left"/>
      <protection hidden="1"/>
    </xf>
    <xf numFmtId="0" fontId="49" fillId="0" borderId="0" xfId="0" applyFont="1" applyBorder="1" applyProtection="1">
      <protection hidden="1"/>
    </xf>
    <xf numFmtId="0" fontId="49" fillId="0" borderId="0" xfId="0" applyFont="1" applyBorder="1" applyAlignment="1" applyProtection="1">
      <alignment horizontal="right"/>
      <protection hidden="1"/>
    </xf>
    <xf numFmtId="164" fontId="49" fillId="0" borderId="0" xfId="0" applyNumberFormat="1" applyFont="1" applyProtection="1">
      <protection hidden="1"/>
    </xf>
    <xf numFmtId="0" fontId="41" fillId="0" borderId="0" xfId="0" applyFont="1" applyFill="1" applyBorder="1" applyAlignment="1" applyProtection="1">
      <alignment horizontal="right" vertical="center"/>
      <protection hidden="1"/>
    </xf>
    <xf numFmtId="2" fontId="49" fillId="0" borderId="0" xfId="0" applyNumberFormat="1" applyFont="1" applyProtection="1">
      <protection hidden="1"/>
    </xf>
    <xf numFmtId="0" fontId="50" fillId="0" borderId="0" xfId="0" applyFont="1" applyFill="1" applyBorder="1" applyAlignment="1" applyProtection="1">
      <alignment horizontal="right" vertical="center"/>
      <protection hidden="1"/>
    </xf>
    <xf numFmtId="0" fontId="49" fillId="0" borderId="0" xfId="0" applyFont="1" applyAlignment="1" applyProtection="1">
      <alignment vertical="center"/>
      <protection hidden="1"/>
    </xf>
    <xf numFmtId="0" fontId="39" fillId="0" borderId="0" xfId="0" applyFont="1" applyAlignment="1" applyProtection="1">
      <alignment horizontal="right" vertical="center"/>
      <protection hidden="1"/>
    </xf>
    <xf numFmtId="0" fontId="39" fillId="0" borderId="0" xfId="0" applyFont="1" applyAlignment="1" applyProtection="1">
      <alignment vertical="center"/>
      <protection hidden="1"/>
    </xf>
    <xf numFmtId="0" fontId="37" fillId="0" borderId="0" xfId="0" applyFont="1" applyAlignment="1" applyProtection="1">
      <alignment vertical="center"/>
      <protection hidden="1"/>
    </xf>
    <xf numFmtId="0" fontId="22" fillId="5" borderId="0" xfId="0" applyFont="1" applyFill="1" applyProtection="1">
      <protection hidden="1"/>
    </xf>
    <xf numFmtId="0" fontId="0" fillId="5" borderId="0" xfId="0" applyFill="1" applyProtection="1">
      <protection hidden="1"/>
    </xf>
    <xf numFmtId="0" fontId="51" fillId="0" borderId="0" xfId="0" applyFont="1" applyAlignment="1" applyProtection="1">
      <alignment horizontal="right" vertical="center"/>
      <protection hidden="1"/>
    </xf>
    <xf numFmtId="1" fontId="23" fillId="0" borderId="0" xfId="0" applyNumberFormat="1" applyFont="1" applyAlignment="1" applyProtection="1">
      <alignment horizontal="center" vertical="center"/>
      <protection hidden="1"/>
    </xf>
    <xf numFmtId="0" fontId="23" fillId="0" borderId="0" xfId="0" applyFont="1" applyAlignment="1" applyProtection="1">
      <alignment wrapText="1"/>
      <protection hidden="1"/>
    </xf>
    <xf numFmtId="0" fontId="0" fillId="0" borderId="5" xfId="0" applyBorder="1" applyProtection="1">
      <protection hidden="1"/>
    </xf>
    <xf numFmtId="0" fontId="0" fillId="0" borderId="22" xfId="0" applyBorder="1" applyAlignment="1" applyProtection="1">
      <alignment vertical="center"/>
      <protection hidden="1"/>
    </xf>
    <xf numFmtId="0" fontId="4" fillId="0" borderId="23" xfId="0" applyFont="1" applyBorder="1" applyAlignment="1" applyProtection="1">
      <alignment vertical="center"/>
      <protection hidden="1"/>
    </xf>
    <xf numFmtId="0" fontId="4" fillId="0" borderId="22" xfId="0" applyFont="1" applyBorder="1" applyAlignment="1" applyProtection="1">
      <alignment vertical="center"/>
      <protection hidden="1"/>
    </xf>
    <xf numFmtId="0" fontId="0" fillId="0" borderId="23" xfId="0" applyBorder="1" applyAlignment="1" applyProtection="1">
      <alignment vertical="center"/>
      <protection hidden="1"/>
    </xf>
    <xf numFmtId="0" fontId="0" fillId="0" borderId="24" xfId="0" applyBorder="1" applyProtection="1">
      <protection hidden="1"/>
    </xf>
    <xf numFmtId="0" fontId="0" fillId="0" borderId="25" xfId="0" applyBorder="1" applyProtection="1">
      <protection hidden="1"/>
    </xf>
    <xf numFmtId="0" fontId="9" fillId="0" borderId="26" xfId="0" applyFont="1" applyBorder="1" applyProtection="1">
      <protection hidden="1"/>
    </xf>
    <xf numFmtId="0" fontId="9" fillId="0" borderId="25" xfId="0" applyFont="1" applyBorder="1" applyProtection="1">
      <protection hidden="1"/>
    </xf>
    <xf numFmtId="0" fontId="0" fillId="0" borderId="26" xfId="0" applyBorder="1" applyProtection="1">
      <protection hidden="1"/>
    </xf>
    <xf numFmtId="164" fontId="39" fillId="0" borderId="0" xfId="0" applyNumberFormat="1" applyFont="1" applyProtection="1">
      <protection hidden="1"/>
    </xf>
    <xf numFmtId="0" fontId="0" fillId="0" borderId="27" xfId="0" applyBorder="1" applyProtection="1">
      <protection hidden="1"/>
    </xf>
    <xf numFmtId="0" fontId="0" fillId="0" borderId="22" xfId="0" applyBorder="1" applyProtection="1">
      <protection hidden="1"/>
    </xf>
    <xf numFmtId="0" fontId="9" fillId="0" borderId="23" xfId="0" applyFont="1" applyBorder="1" applyProtection="1">
      <protection hidden="1"/>
    </xf>
    <xf numFmtId="0" fontId="9" fillId="0" borderId="22" xfId="0" applyFont="1" applyBorder="1" applyProtection="1">
      <protection hidden="1"/>
    </xf>
    <xf numFmtId="0" fontId="0" fillId="0" borderId="23" xfId="0" applyBorder="1" applyProtection="1">
      <protection hidden="1"/>
    </xf>
    <xf numFmtId="0" fontId="0" fillId="0" borderId="28" xfId="0" applyBorder="1" applyProtection="1">
      <protection hidden="1"/>
    </xf>
    <xf numFmtId="0" fontId="0" fillId="0" borderId="29" xfId="0" applyBorder="1" applyProtection="1">
      <protection hidden="1"/>
    </xf>
    <xf numFmtId="0" fontId="9" fillId="0" borderId="20" xfId="0" applyFont="1" applyBorder="1" applyProtection="1">
      <protection hidden="1"/>
    </xf>
    <xf numFmtId="0" fontId="9" fillId="0" borderId="30" xfId="0" applyFont="1" applyBorder="1" applyProtection="1">
      <protection hidden="1"/>
    </xf>
    <xf numFmtId="0" fontId="9" fillId="0" borderId="29" xfId="0" applyFont="1" applyBorder="1" applyProtection="1">
      <protection hidden="1"/>
    </xf>
    <xf numFmtId="0" fontId="12" fillId="0" borderId="20" xfId="0" applyFont="1" applyBorder="1" applyProtection="1">
      <protection hidden="1"/>
    </xf>
    <xf numFmtId="0" fontId="0" fillId="0" borderId="30" xfId="0" applyBorder="1" applyProtection="1">
      <protection hidden="1"/>
    </xf>
    <xf numFmtId="0" fontId="4" fillId="0" borderId="23" xfId="0" applyFont="1" applyBorder="1" applyProtection="1">
      <protection hidden="1"/>
    </xf>
    <xf numFmtId="0" fontId="4" fillId="0" borderId="22" xfId="0" applyFont="1" applyBorder="1" applyProtection="1">
      <protection hidden="1"/>
    </xf>
    <xf numFmtId="0" fontId="35" fillId="0" borderId="31" xfId="0" applyFont="1" applyBorder="1" applyAlignment="1" applyProtection="1">
      <alignment horizontal="center" vertical="center" wrapText="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0" xfId="0" applyFont="1" applyProtection="1">
      <protection hidden="1"/>
    </xf>
    <xf numFmtId="0" fontId="52" fillId="0" borderId="0" xfId="0" applyFont="1" applyAlignment="1" applyProtection="1">
      <alignment horizontal="right"/>
      <protection hidden="1"/>
    </xf>
    <xf numFmtId="0" fontId="0" fillId="0" borderId="0" xfId="0" applyFont="1" applyAlignment="1" applyProtection="1">
      <alignment horizontal="right"/>
      <protection hidden="1"/>
    </xf>
    <xf numFmtId="0" fontId="53" fillId="0" borderId="0" xfId="0" applyFont="1" applyAlignment="1" applyProtection="1">
      <alignment horizontal="right"/>
      <protection hidden="1"/>
    </xf>
    <xf numFmtId="0" fontId="54" fillId="0" borderId="0" xfId="0" applyFont="1" applyAlignment="1" applyProtection="1">
      <alignment horizontal="center"/>
      <protection hidden="1"/>
    </xf>
    <xf numFmtId="0" fontId="27" fillId="0" borderId="0" xfId="0" applyFont="1" applyProtection="1">
      <protection hidden="1"/>
    </xf>
    <xf numFmtId="0" fontId="0" fillId="0" borderId="0" xfId="0" applyFont="1" applyAlignment="1" applyProtection="1">
      <alignment horizontal="left"/>
      <protection hidden="1"/>
    </xf>
    <xf numFmtId="0" fontId="33" fillId="0" borderId="0" xfId="0" applyFont="1" applyAlignment="1" applyProtection="1">
      <alignment horizontal="left"/>
      <protection hidden="1"/>
    </xf>
    <xf numFmtId="0" fontId="9" fillId="0" borderId="0" xfId="0" applyFont="1" applyAlignment="1" applyProtection="1">
      <alignment horizontal="right"/>
      <protection hidden="1"/>
    </xf>
    <xf numFmtId="0" fontId="23" fillId="0" borderId="0" xfId="0" applyFont="1" applyAlignment="1" applyProtection="1">
      <alignment horizontal="center"/>
      <protection hidden="1"/>
    </xf>
    <xf numFmtId="1" fontId="0" fillId="0" borderId="0" xfId="0" applyNumberFormat="1" applyFont="1" applyProtection="1">
      <protection hidden="1"/>
    </xf>
    <xf numFmtId="0" fontId="6" fillId="0" borderId="0" xfId="0" applyFont="1" applyProtection="1">
      <protection hidden="1"/>
    </xf>
    <xf numFmtId="0" fontId="49" fillId="2" borderId="0" xfId="0" applyFont="1" applyFill="1" applyBorder="1" applyAlignment="1" applyProtection="1">
      <alignment horizontal="center" vertical="center"/>
      <protection hidden="1"/>
    </xf>
    <xf numFmtId="0" fontId="49" fillId="2" borderId="32" xfId="0" applyFont="1" applyFill="1" applyBorder="1" applyAlignment="1" applyProtection="1">
      <alignment horizontal="center" vertical="center"/>
      <protection hidden="1"/>
    </xf>
    <xf numFmtId="0" fontId="21" fillId="2" borderId="2" xfId="0" applyFont="1" applyFill="1" applyBorder="1" applyAlignment="1" applyProtection="1">
      <alignment horizontal="center" vertical="center"/>
      <protection locked="0" hidden="1"/>
    </xf>
    <xf numFmtId="0" fontId="0" fillId="7" borderId="0" xfId="0" applyFill="1" applyProtection="1">
      <protection hidden="1"/>
    </xf>
    <xf numFmtId="1" fontId="0" fillId="0" borderId="0" xfId="0" applyNumberFormat="1" applyAlignment="1" applyProtection="1">
      <alignment horizontal="center"/>
      <protection hidden="1"/>
    </xf>
    <xf numFmtId="0" fontId="0" fillId="0" borderId="0" xfId="0" applyAlignment="1" applyProtection="1">
      <alignment horizontal="left"/>
      <protection hidden="1"/>
    </xf>
    <xf numFmtId="0" fontId="12" fillId="0" borderId="0" xfId="0" applyFont="1" applyBorder="1" applyAlignment="1" applyProtection="1">
      <alignment vertical="center" wrapText="1"/>
      <protection hidden="1"/>
    </xf>
    <xf numFmtId="0" fontId="29" fillId="0" borderId="0" xfId="0" applyFont="1" applyProtection="1">
      <protection hidden="1"/>
    </xf>
    <xf numFmtId="0" fontId="12" fillId="0" borderId="0" xfId="0" applyFont="1" applyBorder="1" applyAlignment="1" applyProtection="1">
      <alignment horizontal="left" vertical="center" wrapText="1"/>
      <protection hidden="1"/>
    </xf>
    <xf numFmtId="0" fontId="12" fillId="0" borderId="0" xfId="0" applyFont="1" applyBorder="1" applyAlignment="1" applyProtection="1">
      <alignment horizontal="center" vertical="center" wrapText="1"/>
      <protection hidden="1"/>
    </xf>
    <xf numFmtId="0" fontId="30" fillId="0" borderId="0" xfId="0" applyFont="1" applyBorder="1" applyAlignment="1" applyProtection="1">
      <alignment horizontal="right"/>
      <protection hidden="1"/>
    </xf>
    <xf numFmtId="0" fontId="0" fillId="0" borderId="0" xfId="0" applyBorder="1" applyAlignment="1" applyProtection="1">
      <alignment horizontal="center"/>
      <protection hidden="1"/>
    </xf>
    <xf numFmtId="0" fontId="30" fillId="0" borderId="0" xfId="0" applyFont="1" applyBorder="1" applyAlignment="1" applyProtection="1">
      <alignment horizontal="left"/>
      <protection hidden="1"/>
    </xf>
    <xf numFmtId="0" fontId="30" fillId="0" borderId="0" xfId="0" applyFont="1" applyProtection="1">
      <protection hidden="1"/>
    </xf>
    <xf numFmtId="0" fontId="30" fillId="0" borderId="0" xfId="0" applyFont="1" applyAlignment="1" applyProtection="1">
      <alignment horizontal="right"/>
      <protection hidden="1"/>
    </xf>
    <xf numFmtId="0" fontId="0" fillId="0" borderId="0" xfId="0" applyAlignment="1" applyProtection="1">
      <alignment horizontal="center"/>
      <protection hidden="1"/>
    </xf>
    <xf numFmtId="0" fontId="30" fillId="0" borderId="0" xfId="0" applyFont="1" applyAlignment="1" applyProtection="1">
      <alignment horizontal="left"/>
      <protection hidden="1"/>
    </xf>
    <xf numFmtId="0" fontId="30" fillId="0" borderId="0" xfId="0" applyFont="1" applyBorder="1" applyProtection="1">
      <protection hidden="1"/>
    </xf>
    <xf numFmtId="0" fontId="30" fillId="0" borderId="12" xfId="0" applyFont="1" applyBorder="1" applyProtection="1">
      <protection hidden="1"/>
    </xf>
    <xf numFmtId="0" fontId="30" fillId="0" borderId="12" xfId="0" applyFont="1" applyBorder="1" applyAlignment="1" applyProtection="1">
      <alignment horizontal="right"/>
      <protection hidden="1"/>
    </xf>
    <xf numFmtId="0" fontId="0" fillId="0" borderId="12" xfId="0" applyBorder="1" applyAlignment="1" applyProtection="1">
      <alignment horizontal="center"/>
      <protection hidden="1"/>
    </xf>
    <xf numFmtId="0" fontId="30" fillId="0" borderId="12" xfId="0" applyFont="1" applyBorder="1" applyAlignment="1" applyProtection="1">
      <alignment horizontal="left"/>
      <protection hidden="1"/>
    </xf>
    <xf numFmtId="0" fontId="0" fillId="0" borderId="12" xfId="0" applyBorder="1" applyProtection="1">
      <protection hidden="1"/>
    </xf>
    <xf numFmtId="0" fontId="0" fillId="0" borderId="12" xfId="0" applyBorder="1" applyAlignment="1" applyProtection="1">
      <alignment horizontal="left"/>
      <protection hidden="1"/>
    </xf>
    <xf numFmtId="0" fontId="12" fillId="0" borderId="0" xfId="0" applyFont="1" applyAlignment="1" applyProtection="1">
      <alignment vertical="center" wrapText="1"/>
      <protection hidden="1"/>
    </xf>
    <xf numFmtId="0" fontId="55" fillId="0" borderId="0" xfId="1" applyFont="1" applyAlignment="1" applyProtection="1">
      <alignment wrapText="1"/>
      <protection hidden="1"/>
    </xf>
    <xf numFmtId="0" fontId="66" fillId="0" borderId="0" xfId="1" applyAlignment="1" applyProtection="1">
      <alignment wrapText="1"/>
      <protection hidden="1"/>
    </xf>
    <xf numFmtId="0" fontId="66" fillId="0" borderId="0" xfId="1" applyProtection="1">
      <protection hidden="1"/>
    </xf>
    <xf numFmtId="0" fontId="56" fillId="0" borderId="0" xfId="1" applyFont="1" applyAlignment="1" applyProtection="1">
      <alignment wrapText="1"/>
      <protection hidden="1"/>
    </xf>
    <xf numFmtId="0" fontId="56" fillId="0" borderId="9" xfId="1" applyFont="1" applyBorder="1" applyAlignment="1" applyProtection="1">
      <alignment wrapText="1"/>
      <protection hidden="1"/>
    </xf>
    <xf numFmtId="0" fontId="56" fillId="0" borderId="0" xfId="1" applyFont="1" applyAlignment="1" applyProtection="1">
      <alignment horizontal="center" vertical="center" wrapText="1"/>
      <protection hidden="1"/>
    </xf>
    <xf numFmtId="0" fontId="57" fillId="0" borderId="5" xfId="1" applyFont="1" applyBorder="1" applyAlignment="1" applyProtection="1">
      <alignment horizontal="center" vertical="center" wrapText="1"/>
      <protection hidden="1"/>
    </xf>
    <xf numFmtId="0" fontId="57" fillId="0" borderId="6" xfId="1" applyFont="1" applyBorder="1" applyAlignment="1" applyProtection="1">
      <alignment horizontal="center" vertical="center" wrapText="1"/>
      <protection hidden="1"/>
    </xf>
    <xf numFmtId="0" fontId="57" fillId="0" borderId="7" xfId="1" applyFont="1" applyBorder="1" applyAlignment="1" applyProtection="1">
      <alignment horizontal="center" vertical="center" wrapText="1"/>
      <protection hidden="1"/>
    </xf>
    <xf numFmtId="0" fontId="66" fillId="0" borderId="0" xfId="1" applyBorder="1" applyAlignment="1" applyProtection="1">
      <alignment horizontal="center" vertical="center"/>
      <protection hidden="1"/>
    </xf>
    <xf numFmtId="0" fontId="53" fillId="0" borderId="0" xfId="1" applyFont="1" applyAlignment="1" applyProtection="1">
      <alignment wrapText="1"/>
      <protection hidden="1"/>
    </xf>
    <xf numFmtId="0" fontId="57" fillId="0" borderId="8" xfId="1" applyFont="1" applyBorder="1" applyAlignment="1" applyProtection="1">
      <alignment horizontal="center" vertical="center" wrapText="1"/>
      <protection hidden="1"/>
    </xf>
    <xf numFmtId="0" fontId="57" fillId="0" borderId="9" xfId="1" applyFont="1" applyBorder="1" applyAlignment="1" applyProtection="1">
      <alignment horizontal="center" vertical="center" wrapText="1"/>
      <protection hidden="1"/>
    </xf>
    <xf numFmtId="0" fontId="57" fillId="0" borderId="10" xfId="1" applyFont="1" applyBorder="1" applyAlignment="1" applyProtection="1">
      <alignment horizontal="center" vertical="center" wrapText="1"/>
      <protection hidden="1"/>
    </xf>
    <xf numFmtId="0" fontId="53" fillId="0" borderId="33" xfId="1" applyFont="1" applyBorder="1" applyAlignment="1" applyProtection="1">
      <alignment horizontal="center" vertical="center" wrapText="1"/>
      <protection hidden="1"/>
    </xf>
    <xf numFmtId="0" fontId="56" fillId="0" borderId="0" xfId="1" applyFont="1" applyBorder="1" applyAlignment="1" applyProtection="1">
      <alignment horizontal="center" vertical="center" wrapText="1"/>
      <protection hidden="1"/>
    </xf>
    <xf numFmtId="0" fontId="53" fillId="0" borderId="0" xfId="1" applyFont="1" applyBorder="1" applyAlignment="1" applyProtection="1">
      <alignment horizontal="center" vertical="center" wrapText="1"/>
      <protection hidden="1"/>
    </xf>
    <xf numFmtId="0" fontId="56" fillId="0" borderId="0" xfId="1" applyFont="1" applyBorder="1" applyAlignment="1" applyProtection="1">
      <alignment wrapText="1"/>
      <protection hidden="1"/>
    </xf>
    <xf numFmtId="0" fontId="66" fillId="0" borderId="0" xfId="1" applyAlignment="1" applyProtection="1">
      <alignment horizontal="center" vertical="center"/>
      <protection hidden="1"/>
    </xf>
    <xf numFmtId="0" fontId="57" fillId="0" borderId="0" xfId="1" applyFont="1" applyAlignment="1" applyProtection="1">
      <alignment horizontal="center" wrapText="1"/>
      <protection hidden="1"/>
    </xf>
    <xf numFmtId="0" fontId="53" fillId="0" borderId="0" xfId="1" applyFont="1" applyAlignment="1" applyProtection="1">
      <alignment horizontal="center" vertical="center" wrapText="1"/>
      <protection hidden="1"/>
    </xf>
    <xf numFmtId="0" fontId="53" fillId="0" borderId="0" xfId="1" applyFont="1" applyBorder="1" applyAlignment="1" applyProtection="1">
      <alignment vertical="center" wrapText="1"/>
      <protection hidden="1"/>
    </xf>
    <xf numFmtId="0" fontId="57" fillId="0" borderId="0" xfId="1" applyFont="1" applyBorder="1" applyAlignment="1" applyProtection="1">
      <alignment horizontal="center" vertical="center" wrapText="1"/>
      <protection hidden="1"/>
    </xf>
    <xf numFmtId="0" fontId="56" fillId="0" borderId="0" xfId="1" applyFont="1" applyAlignment="1" applyProtection="1">
      <alignment vertical="center" wrapText="1"/>
      <protection hidden="1"/>
    </xf>
    <xf numFmtId="0" fontId="53" fillId="0" borderId="0" xfId="1" applyFont="1" applyAlignment="1" applyProtection="1">
      <alignment vertical="center" wrapText="1"/>
      <protection hidden="1"/>
    </xf>
    <xf numFmtId="0" fontId="66" fillId="0" borderId="0" xfId="1" applyAlignment="1" applyProtection="1">
      <alignment vertical="center" wrapText="1"/>
      <protection hidden="1"/>
    </xf>
    <xf numFmtId="0" fontId="66" fillId="0" borderId="0" xfId="1" applyAlignment="1" applyProtection="1">
      <alignment vertical="center"/>
      <protection hidden="1"/>
    </xf>
    <xf numFmtId="0" fontId="58" fillId="0" borderId="0" xfId="1" applyFont="1" applyAlignment="1" applyProtection="1">
      <alignment textRotation="90" wrapText="1"/>
      <protection hidden="1"/>
    </xf>
    <xf numFmtId="0" fontId="55" fillId="0" borderId="0" xfId="1" applyFont="1" applyBorder="1" applyAlignment="1" applyProtection="1">
      <alignment wrapText="1"/>
      <protection hidden="1"/>
    </xf>
    <xf numFmtId="0" fontId="66" fillId="0" borderId="0" xfId="1" applyBorder="1" applyProtection="1">
      <protection hidden="1"/>
    </xf>
    <xf numFmtId="0" fontId="57" fillId="0" borderId="5" xfId="1" applyFont="1" applyFill="1" applyBorder="1" applyAlignment="1" applyProtection="1">
      <alignment horizontal="center" vertical="center" wrapText="1"/>
      <protection hidden="1"/>
    </xf>
    <xf numFmtId="0" fontId="57" fillId="0" borderId="6" xfId="1" applyFont="1" applyFill="1" applyBorder="1" applyAlignment="1" applyProtection="1">
      <alignment horizontal="center" vertical="center" wrapText="1"/>
      <protection hidden="1"/>
    </xf>
    <xf numFmtId="0" fontId="53" fillId="0" borderId="0" xfId="1" applyFont="1" applyAlignment="1" applyProtection="1">
      <alignment vertical="top" wrapText="1"/>
      <protection hidden="1"/>
    </xf>
    <xf numFmtId="0" fontId="57" fillId="0" borderId="1" xfId="1" applyFont="1" applyBorder="1" applyAlignment="1" applyProtection="1">
      <alignment horizontal="center" vertical="center" wrapText="1"/>
      <protection hidden="1"/>
    </xf>
    <xf numFmtId="0" fontId="57" fillId="0" borderId="4" xfId="1" applyFont="1" applyBorder="1" applyAlignment="1" applyProtection="1">
      <alignment horizontal="center" vertical="center" wrapText="1"/>
      <protection hidden="1"/>
    </xf>
    <xf numFmtId="0" fontId="43" fillId="0" borderId="6" xfId="1" applyFont="1" applyBorder="1" applyAlignment="1" applyProtection="1">
      <alignment horizontal="center" vertical="center"/>
      <protection hidden="1"/>
    </xf>
    <xf numFmtId="0" fontId="57" fillId="0" borderId="7" xfId="1" applyFont="1" applyFill="1" applyBorder="1" applyAlignment="1" applyProtection="1">
      <alignment horizontal="center" vertical="center" wrapText="1"/>
      <protection hidden="1"/>
    </xf>
    <xf numFmtId="0" fontId="35" fillId="0" borderId="25" xfId="0" applyFont="1" applyBorder="1" applyAlignment="1" applyProtection="1">
      <alignment horizontal="center" vertical="center" wrapText="1"/>
      <protection hidden="1"/>
    </xf>
    <xf numFmtId="0" fontId="35" fillId="0" borderId="35" xfId="0" applyFont="1" applyBorder="1" applyAlignment="1" applyProtection="1">
      <alignment horizontal="center" vertical="center" wrapText="1"/>
      <protection hidden="1"/>
    </xf>
    <xf numFmtId="0" fontId="35" fillId="0" borderId="22" xfId="0" applyFont="1" applyBorder="1" applyAlignment="1" applyProtection="1">
      <alignment horizontal="center" vertical="center" wrapText="1"/>
      <protection hidden="1"/>
    </xf>
    <xf numFmtId="0" fontId="35" fillId="0" borderId="31" xfId="0" applyFont="1" applyBorder="1" applyAlignment="1" applyProtection="1">
      <alignment horizontal="center" vertical="center" wrapText="1"/>
      <protection hidden="1"/>
    </xf>
    <xf numFmtId="164"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64" fontId="3" fillId="0" borderId="22" xfId="0" applyNumberFormat="1"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11" fillId="0" borderId="0" xfId="0" applyFont="1" applyBorder="1" applyAlignment="1" applyProtection="1">
      <alignment horizontal="center"/>
      <protection hidden="1"/>
    </xf>
    <xf numFmtId="0" fontId="11" fillId="0" borderId="22" xfId="0" applyFont="1" applyBorder="1" applyAlignment="1" applyProtection="1">
      <alignment horizontal="center"/>
      <protection hidden="1"/>
    </xf>
    <xf numFmtId="0" fontId="11" fillId="0" borderId="23" xfId="0" applyFont="1" applyBorder="1" applyAlignment="1" applyProtection="1">
      <alignment horizontal="center"/>
      <protection hidden="1"/>
    </xf>
    <xf numFmtId="0" fontId="59" fillId="0" borderId="6" xfId="0" applyFont="1" applyBorder="1" applyAlignment="1" applyProtection="1">
      <alignment horizontal="center"/>
      <protection hidden="1"/>
    </xf>
    <xf numFmtId="0" fontId="4" fillId="0" borderId="0" xfId="0" applyFont="1" applyAlignment="1" applyProtection="1">
      <alignment horizontal="left" vertical="center"/>
      <protection hidden="1"/>
    </xf>
    <xf numFmtId="0" fontId="9" fillId="0" borderId="0" xfId="0" applyFont="1" applyAlignment="1" applyProtection="1">
      <alignment horizontal="center"/>
      <protection hidden="1"/>
    </xf>
    <xf numFmtId="0" fontId="59" fillId="0" borderId="5" xfId="0" applyFont="1" applyBorder="1" applyAlignment="1" applyProtection="1">
      <alignment horizontal="center"/>
      <protection hidden="1"/>
    </xf>
    <xf numFmtId="0" fontId="59" fillId="0" borderId="7" xfId="0" applyFont="1" applyBorder="1" applyAlignment="1" applyProtection="1">
      <alignment horizontal="center"/>
      <protection hidden="1"/>
    </xf>
    <xf numFmtId="0" fontId="23" fillId="0" borderId="0" xfId="0" applyFont="1" applyAlignment="1" applyProtection="1">
      <alignment horizontal="left" vertical="center" wrapText="1"/>
      <protection hidden="1"/>
    </xf>
    <xf numFmtId="0" fontId="23" fillId="0" borderId="0" xfId="0" applyFont="1" applyAlignment="1" applyProtection="1">
      <alignment horizontal="left" wrapText="1"/>
      <protection hidden="1"/>
    </xf>
    <xf numFmtId="0" fontId="9" fillId="0" borderId="0" xfId="0" applyFont="1" applyBorder="1" applyAlignment="1" applyProtection="1">
      <alignment horizontal="left" vertical="center" wrapText="1"/>
      <protection hidden="1"/>
    </xf>
    <xf numFmtId="0" fontId="9" fillId="0" borderId="0" xfId="0" applyFont="1" applyFill="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10" fillId="5" borderId="0" xfId="0" applyFont="1" applyFill="1" applyAlignment="1" applyProtection="1">
      <alignment horizontal="center" vertical="center"/>
      <protection hidden="1"/>
    </xf>
    <xf numFmtId="0" fontId="9" fillId="0" borderId="0" xfId="0" applyFont="1" applyFill="1" applyAlignment="1" applyProtection="1">
      <alignment horizontal="left" vertical="center" wrapText="1"/>
      <protection hidden="1"/>
    </xf>
    <xf numFmtId="0" fontId="35" fillId="0" borderId="0" xfId="0" applyFont="1" applyBorder="1" applyAlignment="1" applyProtection="1">
      <alignment horizontal="center" vertical="center" wrapText="1"/>
      <protection hidden="1"/>
    </xf>
    <xf numFmtId="0" fontId="35" fillId="0" borderId="23" xfId="0" applyFont="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15" xfId="0" quotePrefix="1" applyFont="1" applyBorder="1" applyAlignment="1" applyProtection="1">
      <alignment horizontal="center" vertical="center"/>
      <protection hidden="1"/>
    </xf>
    <xf numFmtId="0" fontId="4" fillId="0" borderId="12" xfId="0" quotePrefix="1"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35" fillId="0" borderId="22"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10" fillId="5" borderId="0" xfId="0" applyFont="1" applyFill="1" applyAlignment="1" applyProtection="1">
      <alignment horizontal="left" vertical="center"/>
      <protection hidden="1"/>
    </xf>
    <xf numFmtId="0" fontId="35" fillId="0" borderId="0" xfId="0" applyFont="1" applyAlignment="1" applyProtection="1">
      <alignment horizontal="center" vertical="center" textRotation="90"/>
      <protection hidden="1"/>
    </xf>
    <xf numFmtId="0" fontId="35" fillId="0" borderId="0" xfId="0" applyFont="1" applyAlignment="1" applyProtection="1">
      <alignment horizontal="center" vertical="center" textRotation="90" wrapText="1"/>
      <protection hidden="1"/>
    </xf>
    <xf numFmtId="0" fontId="4" fillId="0" borderId="11"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11" fillId="0" borderId="12" xfId="0" applyFont="1" applyBorder="1" applyAlignment="1" applyProtection="1">
      <alignment horizontal="center" vertical="center" wrapText="1"/>
      <protection hidden="1"/>
    </xf>
    <xf numFmtId="0" fontId="11" fillId="0" borderId="0" xfId="0" applyFont="1" applyBorder="1" applyAlignment="1" applyProtection="1">
      <alignment horizontal="center" wrapText="1"/>
      <protection hidden="1"/>
    </xf>
    <xf numFmtId="0" fontId="11" fillId="0" borderId="12" xfId="0" applyFont="1" applyBorder="1" applyAlignment="1" applyProtection="1">
      <alignment horizontal="center" wrapText="1"/>
      <protection hidden="1"/>
    </xf>
    <xf numFmtId="0" fontId="11" fillId="0" borderId="0"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left" vertical="center" wrapText="1"/>
      <protection hidden="1"/>
    </xf>
    <xf numFmtId="0" fontId="35" fillId="0" borderId="0" xfId="0" applyFont="1" applyFill="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4" borderId="0" xfId="0" applyFont="1" applyFill="1" applyBorder="1" applyAlignment="1" applyProtection="1">
      <alignment horizontal="left" vertical="center"/>
      <protection hidden="1"/>
    </xf>
    <xf numFmtId="0" fontId="62" fillId="0" borderId="0" xfId="0" applyFont="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3" xfId="0" applyFont="1" applyBorder="1" applyAlignment="1" applyProtection="1">
      <alignment horizontal="center" vertical="center" wrapText="1"/>
      <protection hidden="1"/>
    </xf>
    <xf numFmtId="0" fontId="4" fillId="2" borderId="0" xfId="0" applyFont="1" applyFill="1" applyAlignment="1" applyProtection="1">
      <alignment horizontal="left"/>
      <protection hidden="1"/>
    </xf>
    <xf numFmtId="0" fontId="35" fillId="0" borderId="0" xfId="0" applyFont="1" applyAlignment="1" applyProtection="1">
      <alignment horizontal="left" vertical="center" wrapText="1"/>
      <protection hidden="1"/>
    </xf>
    <xf numFmtId="0" fontId="4" fillId="0" borderId="15" xfId="0" applyFont="1" applyBorder="1" applyAlignment="1" applyProtection="1">
      <alignment horizontal="center" vertical="center"/>
      <protection hidden="1"/>
    </xf>
    <xf numFmtId="0" fontId="4" fillId="0" borderId="16" xfId="0" quotePrefix="1"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60" fillId="0" borderId="0" xfId="0" applyFont="1" applyAlignment="1" applyProtection="1">
      <alignment horizontal="center"/>
      <protection hidden="1"/>
    </xf>
    <xf numFmtId="0" fontId="61" fillId="0" borderId="0" xfId="0" applyFont="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25" fillId="0" borderId="0" xfId="0" applyFont="1" applyFill="1" applyAlignment="1" applyProtection="1">
      <alignment horizontal="center" vertical="center"/>
      <protection hidden="1"/>
    </xf>
    <xf numFmtId="14" fontId="24" fillId="0" borderId="0" xfId="0" applyNumberFormat="1" applyFont="1" applyAlignment="1" applyProtection="1">
      <alignment horizontal="center" vertical="center"/>
      <protection locked="0" hidden="1"/>
    </xf>
    <xf numFmtId="14" fontId="24" fillId="2" borderId="0" xfId="0" applyNumberFormat="1" applyFont="1" applyFill="1" applyAlignment="1" applyProtection="1">
      <alignment horizontal="center" vertical="center"/>
      <protection locked="0" hidden="1"/>
    </xf>
    <xf numFmtId="14" fontId="9" fillId="2" borderId="0" xfId="0" applyNumberFormat="1" applyFont="1" applyFill="1" applyAlignment="1" applyProtection="1">
      <alignment horizontal="center" vertical="center"/>
      <protection hidden="1"/>
    </xf>
    <xf numFmtId="0" fontId="35" fillId="0" borderId="0" xfId="0" applyFont="1" applyFill="1" applyAlignment="1" applyProtection="1">
      <alignment horizontal="center" vertical="center" textRotation="90" wrapText="1"/>
      <protection hidden="1"/>
    </xf>
    <xf numFmtId="0" fontId="4"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35" fillId="0" borderId="0" xfId="0" applyFont="1" applyFill="1" applyAlignment="1" applyProtection="1">
      <alignment horizontal="center" vertical="center" textRotation="90"/>
      <protection hidden="1"/>
    </xf>
    <xf numFmtId="0" fontId="3" fillId="7" borderId="0" xfId="0" applyFont="1" applyFill="1" applyBorder="1" applyAlignment="1" applyProtection="1">
      <alignment horizontal="left"/>
      <protection hidden="1"/>
    </xf>
    <xf numFmtId="0" fontId="4" fillId="0" borderId="2" xfId="0" applyFont="1" applyBorder="1" applyAlignment="1" applyProtection="1">
      <alignment horizontal="center"/>
      <protection hidden="1"/>
    </xf>
    <xf numFmtId="0" fontId="12" fillId="0" borderId="0" xfId="0" applyFont="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63" fillId="6" borderId="0" xfId="0" applyFont="1" applyFill="1" applyAlignment="1" applyProtection="1">
      <alignment horizontal="center"/>
      <protection hidden="1"/>
    </xf>
    <xf numFmtId="0" fontId="53" fillId="0" borderId="0" xfId="1" applyFont="1" applyBorder="1" applyAlignment="1" applyProtection="1">
      <alignment horizontal="left" vertical="center" wrapText="1"/>
      <protection hidden="1"/>
    </xf>
    <xf numFmtId="0" fontId="53" fillId="0" borderId="0" xfId="1" applyFont="1" applyBorder="1" applyAlignment="1" applyProtection="1">
      <alignment horizontal="center" vertical="center" wrapText="1"/>
      <protection hidden="1"/>
    </xf>
    <xf numFmtId="0" fontId="57" fillId="0" borderId="5" xfId="1" applyFont="1" applyBorder="1" applyAlignment="1" applyProtection="1">
      <alignment horizontal="center" vertical="center" wrapText="1"/>
      <protection hidden="1"/>
    </xf>
    <xf numFmtId="0" fontId="57" fillId="0" borderId="7" xfId="1" applyFont="1" applyBorder="1" applyAlignment="1" applyProtection="1">
      <alignment horizontal="center" vertical="center" wrapText="1"/>
      <protection hidden="1"/>
    </xf>
    <xf numFmtId="0" fontId="40" fillId="0" borderId="0" xfId="1" applyFont="1" applyBorder="1" applyAlignment="1" applyProtection="1">
      <alignment horizontal="center" vertical="center"/>
      <protection hidden="1"/>
    </xf>
    <xf numFmtId="0" fontId="53" fillId="0" borderId="33" xfId="1" applyFont="1" applyBorder="1" applyAlignment="1" applyProtection="1">
      <alignment horizontal="center" vertical="center" wrapText="1"/>
      <protection hidden="1"/>
    </xf>
    <xf numFmtId="0" fontId="53" fillId="0" borderId="0" xfId="1" applyFont="1" applyAlignment="1" applyProtection="1">
      <alignment horizontal="center" vertical="center" wrapText="1"/>
      <protection hidden="1"/>
    </xf>
    <xf numFmtId="0" fontId="58" fillId="0" borderId="0" xfId="1" applyFont="1" applyAlignment="1" applyProtection="1">
      <alignment horizontal="center" vertical="center" textRotation="90" wrapText="1"/>
      <protection hidden="1"/>
    </xf>
    <xf numFmtId="0" fontId="56" fillId="0" borderId="0" xfId="1" applyFont="1" applyBorder="1" applyAlignment="1" applyProtection="1">
      <alignment horizontal="center" vertical="center" wrapText="1"/>
      <protection hidden="1"/>
    </xf>
    <xf numFmtId="0" fontId="64" fillId="5" borderId="0" xfId="1" applyFont="1" applyFill="1" applyAlignment="1" applyProtection="1">
      <alignment horizontal="center" wrapText="1"/>
      <protection hidden="1"/>
    </xf>
    <xf numFmtId="0" fontId="53" fillId="0" borderId="6" xfId="1" applyFont="1" applyBorder="1" applyAlignment="1" applyProtection="1">
      <alignment horizontal="center" vertical="center" wrapText="1"/>
      <protection hidden="1"/>
    </xf>
    <xf numFmtId="0" fontId="46" fillId="6" borderId="37" xfId="0" applyFont="1" applyFill="1" applyBorder="1" applyAlignment="1">
      <alignment horizontal="center" vertical="center" textRotation="90" wrapText="1"/>
    </xf>
    <xf numFmtId="0" fontId="46" fillId="6" borderId="38" xfId="0" applyFont="1" applyFill="1" applyBorder="1" applyAlignment="1">
      <alignment horizontal="center" vertical="center" textRotation="90" wrapText="1"/>
    </xf>
    <xf numFmtId="0" fontId="9" fillId="0" borderId="13" xfId="0" applyFont="1" applyBorder="1" applyAlignment="1">
      <alignment horizontal="right" vertical="center" wrapText="1"/>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4" fillId="0" borderId="11" xfId="0" applyFont="1" applyBorder="1" applyAlignment="1">
      <alignment horizontal="center"/>
    </xf>
    <xf numFmtId="0" fontId="9" fillId="0" borderId="13" xfId="0" applyFont="1" applyBorder="1" applyAlignment="1">
      <alignment horizontal="center" vertical="center" wrapText="1"/>
    </xf>
    <xf numFmtId="0" fontId="65" fillId="6" borderId="0" xfId="0" applyFont="1" applyFill="1" applyAlignment="1">
      <alignment horizontal="center"/>
    </xf>
    <xf numFmtId="0" fontId="46" fillId="6" borderId="15" xfId="0" applyFont="1" applyFill="1" applyBorder="1" applyAlignment="1">
      <alignment horizontal="center" vertical="center" wrapText="1"/>
    </xf>
    <xf numFmtId="0" fontId="46" fillId="6" borderId="12" xfId="0" applyFont="1" applyFill="1" applyBorder="1" applyAlignment="1">
      <alignment horizontal="center" vertical="center" wrapText="1"/>
    </xf>
    <xf numFmtId="0" fontId="46" fillId="6" borderId="16"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46" fillId="6" borderId="36" xfId="0" applyFont="1" applyFill="1" applyBorder="1" applyAlignment="1">
      <alignment horizontal="center" vertical="center" wrapText="1"/>
    </xf>
    <xf numFmtId="0" fontId="46" fillId="6" borderId="32" xfId="0" applyFont="1" applyFill="1" applyBorder="1" applyAlignment="1">
      <alignment horizontal="center" vertical="center" wrapText="1"/>
    </xf>
    <xf numFmtId="0" fontId="46" fillId="6" borderId="21" xfId="0" applyFont="1" applyFill="1" applyBorder="1" applyAlignment="1">
      <alignment horizontal="center" vertical="center" textRotation="90" wrapText="1"/>
    </xf>
    <xf numFmtId="0" fontId="46" fillId="6" borderId="17" xfId="0" applyFont="1" applyFill="1" applyBorder="1" applyAlignment="1">
      <alignment horizontal="center" vertical="center" textRotation="90" wrapText="1"/>
    </xf>
    <xf numFmtId="0" fontId="46" fillId="6" borderId="13" xfId="0" applyFont="1" applyFill="1" applyBorder="1" applyAlignment="1">
      <alignment horizontal="center" vertical="center" textRotation="90" wrapText="1"/>
    </xf>
  </cellXfs>
  <cellStyles count="3">
    <cellStyle name="Normal" xfId="0" builtinId="0"/>
    <cellStyle name="Normal 2" xfId="1"/>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DD0806"/>
      <rgbColor rgb="001FB714"/>
      <rgbColor rgb="000000D4"/>
      <rgbColor rgb="00FCF305"/>
      <rgbColor rgb="00F20884"/>
      <rgbColor rgb="00AAC5FF"/>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protection/>
  <c:chart>
    <c:title>
      <c:tx>
        <c:rich>
          <a:bodyPr/>
          <a:lstStyle/>
          <a:p>
            <a:pPr>
              <a:defRPr sz="1200" b="1" i="0" u="none" strike="noStrike" baseline="0">
                <a:solidFill>
                  <a:srgbClr val="339966"/>
                </a:solidFill>
                <a:latin typeface="Arial"/>
                <a:ea typeface="Arial"/>
                <a:cs typeface="Arial"/>
              </a:defRPr>
            </a:pPr>
            <a:r>
              <a:rPr lang="en-US">
                <a:solidFill>
                  <a:srgbClr val="0070C0"/>
                </a:solidFill>
              </a:rPr>
              <a:t>WAIS-IV Subtest Scaled Score Profile</a:t>
            </a:r>
          </a:p>
        </c:rich>
      </c:tx>
      <c:layout>
        <c:manualLayout>
          <c:xMode val="edge"/>
          <c:yMode val="edge"/>
          <c:x val="0.33890746934225197"/>
          <c:y val="1.9639934533551555E-2"/>
        </c:manualLayout>
      </c:layout>
      <c:spPr>
        <a:noFill/>
        <a:ln w="25400">
          <a:noFill/>
        </a:ln>
      </c:spPr>
    </c:title>
    <c:plotArea>
      <c:layout>
        <c:manualLayout>
          <c:layoutTarget val="inner"/>
          <c:xMode val="edge"/>
          <c:yMode val="edge"/>
          <c:x val="0.14046822742474918"/>
          <c:y val="9.9836333878887101E-2"/>
          <c:w val="0.73913043478260854"/>
          <c:h val="0.56464811783960733"/>
        </c:manualLayout>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multiLvlStrRef>
              <c:f>'WAIS-IV'!$B$117:$D$134</c:f>
              <c:multiLvlStrCache>
                <c:ptCount val="18"/>
                <c:lvl>
                  <c:pt idx="0">
                    <c:v>Similarities</c:v>
                  </c:pt>
                  <c:pt idx="1">
                    <c:v>Vocabulary</c:v>
                  </c:pt>
                  <c:pt idx="2">
                    <c:v>Information</c:v>
                  </c:pt>
                  <c:pt idx="3">
                    <c:v>Comprehension</c:v>
                  </c:pt>
                  <c:pt idx="5">
                    <c:v>Block Design</c:v>
                  </c:pt>
                  <c:pt idx="6">
                    <c:v>Matrix Reasoning</c:v>
                  </c:pt>
                  <c:pt idx="7">
                    <c:v>Visual Puzzles</c:v>
                  </c:pt>
                  <c:pt idx="8">
                    <c:v>Figure Weights</c:v>
                  </c:pt>
                  <c:pt idx="9">
                    <c:v>Picture Completion</c:v>
                  </c:pt>
                  <c:pt idx="11">
                    <c:v>Digit Span</c:v>
                  </c:pt>
                  <c:pt idx="12">
                    <c:v>Arithmetic</c:v>
                  </c:pt>
                  <c:pt idx="13">
                    <c:v>Letter-Number Sequence</c:v>
                  </c:pt>
                  <c:pt idx="15">
                    <c:v>Symbol Search</c:v>
                  </c:pt>
                  <c:pt idx="16">
                    <c:v>Coding</c:v>
                  </c:pt>
                  <c:pt idx="17">
                    <c:v>Cancellation</c:v>
                  </c:pt>
                </c:lvl>
                <c:lvl>
                  <c:pt idx="0">
                    <c:v>Verbal</c:v>
                  </c:pt>
                  <c:pt idx="6">
                    <c:v>Perceptual</c:v>
                  </c:pt>
                  <c:pt idx="11">
                    <c:v>WM</c:v>
                  </c:pt>
                  <c:pt idx="15">
                    <c:v>Pr.  Spd.</c:v>
                  </c:pt>
                </c:lvl>
              </c:multiLvlStrCache>
            </c:multiLvlStrRef>
          </c:cat>
          <c:val>
            <c:numRef>
              <c:f>'WAIS-IV'!$E$117:$E$134</c:f>
              <c:numCache>
                <c:formatCode>General</c:formatCode>
                <c:ptCount val="18"/>
              </c:numCache>
            </c:numRef>
          </c:val>
        </c:ser>
        <c:ser>
          <c:idx val="1"/>
          <c:order val="1"/>
          <c:spPr>
            <a:ln w="28575">
              <a:noFill/>
            </a:ln>
          </c:spPr>
          <c:marker>
            <c:symbol val="circle"/>
            <c:size val="7"/>
            <c:spPr>
              <a:solidFill>
                <a:schemeClr val="tx2"/>
              </a:solidFill>
              <a:ln>
                <a:solidFill>
                  <a:srgbClr val="339966"/>
                </a:solidFill>
                <a:prstDash val="solid"/>
              </a:ln>
            </c:spPr>
          </c:marker>
          <c:cat>
            <c:multiLvlStrRef>
              <c:f>'WAIS-IV'!$B$117:$D$134</c:f>
              <c:multiLvlStrCache>
                <c:ptCount val="18"/>
                <c:lvl>
                  <c:pt idx="0">
                    <c:v>Similarities</c:v>
                  </c:pt>
                  <c:pt idx="1">
                    <c:v>Vocabulary</c:v>
                  </c:pt>
                  <c:pt idx="2">
                    <c:v>Information</c:v>
                  </c:pt>
                  <c:pt idx="3">
                    <c:v>Comprehension</c:v>
                  </c:pt>
                  <c:pt idx="5">
                    <c:v>Block Design</c:v>
                  </c:pt>
                  <c:pt idx="6">
                    <c:v>Matrix Reasoning</c:v>
                  </c:pt>
                  <c:pt idx="7">
                    <c:v>Visual Puzzles</c:v>
                  </c:pt>
                  <c:pt idx="8">
                    <c:v>Figure Weights</c:v>
                  </c:pt>
                  <c:pt idx="9">
                    <c:v>Picture Completion</c:v>
                  </c:pt>
                  <c:pt idx="11">
                    <c:v>Digit Span</c:v>
                  </c:pt>
                  <c:pt idx="12">
                    <c:v>Arithmetic</c:v>
                  </c:pt>
                  <c:pt idx="13">
                    <c:v>Letter-Number Sequence</c:v>
                  </c:pt>
                  <c:pt idx="15">
                    <c:v>Symbol Search</c:v>
                  </c:pt>
                  <c:pt idx="16">
                    <c:v>Coding</c:v>
                  </c:pt>
                  <c:pt idx="17">
                    <c:v>Cancellation</c:v>
                  </c:pt>
                </c:lvl>
                <c:lvl>
                  <c:pt idx="0">
                    <c:v>Verbal</c:v>
                  </c:pt>
                  <c:pt idx="6">
                    <c:v>Perceptual</c:v>
                  </c:pt>
                  <c:pt idx="11">
                    <c:v>WM</c:v>
                  </c:pt>
                  <c:pt idx="15">
                    <c:v>Pr.  Spd.</c:v>
                  </c:pt>
                </c:lvl>
              </c:multiLvlStrCache>
            </c:multiLvlStrRef>
          </c:cat>
          <c:val>
            <c:numRef>
              <c:f>'WAIS-IV'!$F$117:$F$134</c:f>
              <c:numCache>
                <c:formatCode>General</c:formatCode>
                <c:ptCount val="18"/>
                <c:pt idx="0">
                  <c:v>16</c:v>
                </c:pt>
                <c:pt idx="1">
                  <c:v>11</c:v>
                </c:pt>
                <c:pt idx="2">
                  <c:v>12</c:v>
                </c:pt>
                <c:pt idx="3">
                  <c:v>12</c:v>
                </c:pt>
                <c:pt idx="5">
                  <c:v>10</c:v>
                </c:pt>
                <c:pt idx="6">
                  <c:v>16</c:v>
                </c:pt>
                <c:pt idx="7">
                  <c:v>9</c:v>
                </c:pt>
                <c:pt idx="8">
                  <c:v>16</c:v>
                </c:pt>
                <c:pt idx="9">
                  <c:v>10</c:v>
                </c:pt>
                <c:pt idx="11">
                  <c:v>12</c:v>
                </c:pt>
                <c:pt idx="12">
                  <c:v>16</c:v>
                </c:pt>
                <c:pt idx="13">
                  <c:v>11</c:v>
                </c:pt>
                <c:pt idx="15">
                  <c:v>10</c:v>
                </c:pt>
                <c:pt idx="16">
                  <c:v>5</c:v>
                </c:pt>
                <c:pt idx="17">
                  <c:v>7</c:v>
                </c:pt>
              </c:numCache>
            </c:numRef>
          </c:val>
        </c:ser>
        <c:marker val="1"/>
        <c:axId val="52460928"/>
        <c:axId val="52471296"/>
      </c:lineChart>
      <c:catAx>
        <c:axId val="52460928"/>
        <c:scaling>
          <c:orientation val="minMax"/>
        </c:scaling>
        <c:axPos val="b"/>
        <c:numFmt formatCode="General" sourceLinked="1"/>
        <c:tickLblPos val="nextTo"/>
        <c:spPr>
          <a:ln w="9525">
            <a:noFill/>
          </a:ln>
        </c:spPr>
        <c:txPr>
          <a:bodyPr rot="-5400000" vert="horz"/>
          <a:lstStyle/>
          <a:p>
            <a:pPr>
              <a:defRPr sz="800" b="0" i="0" u="none" strike="noStrike" baseline="0">
                <a:solidFill>
                  <a:srgbClr val="000000"/>
                </a:solidFill>
                <a:latin typeface="Arial"/>
                <a:ea typeface="Arial"/>
                <a:cs typeface="Arial"/>
              </a:defRPr>
            </a:pPr>
            <a:endParaRPr lang="en-US"/>
          </a:p>
        </c:txPr>
        <c:crossAx val="52471296"/>
        <c:crossesAt val="0"/>
        <c:auto val="1"/>
        <c:lblAlgn val="ctr"/>
        <c:lblOffset val="100"/>
        <c:tickLblSkip val="1"/>
        <c:tickMarkSkip val="1"/>
      </c:catAx>
      <c:valAx>
        <c:axId val="52471296"/>
        <c:scaling>
          <c:orientation val="minMax"/>
          <c:max val="19"/>
          <c:min val="0"/>
        </c:scaling>
        <c:axPos val="l"/>
        <c:majorGridlines>
          <c:spPr>
            <a:ln w="3175">
              <a:solidFill>
                <a:srgbClr val="000000"/>
              </a:solidFill>
              <a:prstDash val="sysDash"/>
            </a:ln>
          </c:spPr>
        </c:majorGridlines>
        <c:title>
          <c:tx>
            <c:rich>
              <a:bodyPr/>
              <a:lstStyle/>
              <a:p>
                <a:pPr>
                  <a:defRPr sz="925" b="1" i="0" u="none" strike="noStrike" baseline="0">
                    <a:solidFill>
                      <a:srgbClr val="333333"/>
                    </a:solidFill>
                    <a:latin typeface="Arial"/>
                    <a:ea typeface="Arial"/>
                    <a:cs typeface="Arial"/>
                  </a:defRPr>
                </a:pPr>
                <a:r>
                  <a:t>Scaled Score</a:t>
                </a:r>
              </a:p>
            </c:rich>
          </c:tx>
          <c:layout>
            <c:manualLayout>
              <c:xMode val="edge"/>
              <c:yMode val="edge"/>
              <c:x val="9.0301003344481601E-2"/>
              <c:y val="0.30932896890343697"/>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2460928"/>
        <c:crosses val="autoZero"/>
        <c:crossBetween val="between"/>
        <c:majorUnit val="1"/>
        <c:minorUnit val="0.2"/>
      </c:valAx>
      <c:spPr>
        <a:noFill/>
        <a:ln w="12700">
          <a:solidFill>
            <a:srgbClr val="FFFFFF"/>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protection/>
  <c:chart>
    <c:title>
      <c:tx>
        <c:rich>
          <a:bodyPr/>
          <a:lstStyle/>
          <a:p>
            <a:pPr>
              <a:defRPr sz="1400" b="1" i="0" u="none" strike="noStrike" baseline="0">
                <a:solidFill>
                  <a:srgbClr val="339966"/>
                </a:solidFill>
                <a:latin typeface="Arial"/>
                <a:ea typeface="Arial"/>
                <a:cs typeface="Arial"/>
              </a:defRPr>
            </a:pPr>
            <a:r>
              <a:rPr lang="en-US">
                <a:solidFill>
                  <a:srgbClr val="0070C0"/>
                </a:solidFill>
              </a:rPr>
              <a:t>WAIS-IV Subtests Order of Administration</a:t>
            </a:r>
          </a:p>
        </c:rich>
      </c:tx>
      <c:layout>
        <c:manualLayout>
          <c:xMode val="edge"/>
          <c:yMode val="edge"/>
          <c:x val="0.28316610925306579"/>
          <c:y val="1.9696969696969695E-2"/>
        </c:manualLayout>
      </c:layout>
      <c:spPr>
        <a:noFill/>
        <a:ln w="25400">
          <a:noFill/>
        </a:ln>
      </c:spPr>
    </c:title>
    <c:plotArea>
      <c:layout>
        <c:manualLayout>
          <c:layoutTarget val="inner"/>
          <c:xMode val="edge"/>
          <c:yMode val="edge"/>
          <c:x val="4.4593088071349034E-2"/>
          <c:y val="0.11818181818181818"/>
          <c:w val="0.94425863991081382"/>
          <c:h val="0.70303030303030301"/>
        </c:manualLayout>
      </c:layout>
      <c:lineChart>
        <c:grouping val="standard"/>
        <c:ser>
          <c:idx val="0"/>
          <c:order val="0"/>
          <c:spPr>
            <a:ln w="28575">
              <a:noFill/>
            </a:ln>
          </c:spPr>
          <c:marker>
            <c:symbol val="circle"/>
            <c:size val="8"/>
            <c:spPr>
              <a:solidFill>
                <a:schemeClr val="tx2"/>
              </a:solidFill>
              <a:ln>
                <a:solidFill>
                  <a:srgbClr val="006411"/>
                </a:solidFill>
                <a:prstDash val="solid"/>
              </a:ln>
            </c:spPr>
          </c:marker>
          <c:cat>
            <c:strRef>
              <c:f>'WAIS-IV'!$U$253:$U$271</c:f>
              <c:strCache>
                <c:ptCount val="18"/>
                <c:pt idx="0">
                  <c:v>Block Design</c:v>
                </c:pt>
                <c:pt idx="1">
                  <c:v>Similarities</c:v>
                </c:pt>
                <c:pt idx="2">
                  <c:v>Digit Span</c:v>
                </c:pt>
                <c:pt idx="3">
                  <c:v>Digit Span-Forward</c:v>
                </c:pt>
                <c:pt idx="4">
                  <c:v>Digit Span-Backward</c:v>
                </c:pt>
                <c:pt idx="5">
                  <c:v>Digit Span-Sequencing</c:v>
                </c:pt>
                <c:pt idx="6">
                  <c:v>Matrix Reasoning</c:v>
                </c:pt>
                <c:pt idx="7">
                  <c:v>Vocabulary</c:v>
                </c:pt>
                <c:pt idx="8">
                  <c:v>Arithmetic</c:v>
                </c:pt>
                <c:pt idx="9">
                  <c:v>Symbol Search</c:v>
                </c:pt>
                <c:pt idx="10">
                  <c:v>Visual Puzzles</c:v>
                </c:pt>
                <c:pt idx="11">
                  <c:v>Information</c:v>
                </c:pt>
                <c:pt idx="12">
                  <c:v>Coding</c:v>
                </c:pt>
                <c:pt idx="13">
                  <c:v>Letter-Number Sequence</c:v>
                </c:pt>
                <c:pt idx="14">
                  <c:v>Figure Weights</c:v>
                </c:pt>
                <c:pt idx="15">
                  <c:v>Comprehension</c:v>
                </c:pt>
                <c:pt idx="16">
                  <c:v>Cancellation</c:v>
                </c:pt>
                <c:pt idx="17">
                  <c:v>Picture Completion</c:v>
                </c:pt>
              </c:strCache>
            </c:strRef>
          </c:cat>
          <c:val>
            <c:numRef>
              <c:f>'WAIS-IV'!$V$253:$V$271</c:f>
              <c:numCache>
                <c:formatCode>General</c:formatCode>
                <c:ptCount val="19"/>
                <c:pt idx="0">
                  <c:v>10</c:v>
                </c:pt>
                <c:pt idx="1">
                  <c:v>16</c:v>
                </c:pt>
                <c:pt idx="2">
                  <c:v>12</c:v>
                </c:pt>
                <c:pt idx="3">
                  <c:v>18</c:v>
                </c:pt>
                <c:pt idx="4">
                  <c:v>17</c:v>
                </c:pt>
                <c:pt idx="5">
                  <c:v>13</c:v>
                </c:pt>
                <c:pt idx="6">
                  <c:v>16</c:v>
                </c:pt>
                <c:pt idx="7">
                  <c:v>11</c:v>
                </c:pt>
                <c:pt idx="8">
                  <c:v>16</c:v>
                </c:pt>
                <c:pt idx="9">
                  <c:v>10</c:v>
                </c:pt>
                <c:pt idx="10">
                  <c:v>9</c:v>
                </c:pt>
                <c:pt idx="11">
                  <c:v>12</c:v>
                </c:pt>
                <c:pt idx="12">
                  <c:v>5</c:v>
                </c:pt>
                <c:pt idx="13">
                  <c:v>11</c:v>
                </c:pt>
                <c:pt idx="14">
                  <c:v>16</c:v>
                </c:pt>
                <c:pt idx="15">
                  <c:v>12</c:v>
                </c:pt>
                <c:pt idx="16">
                  <c:v>7</c:v>
                </c:pt>
                <c:pt idx="17">
                  <c:v>10</c:v>
                </c:pt>
              </c:numCache>
            </c:numRef>
          </c:val>
        </c:ser>
        <c:marker val="1"/>
        <c:axId val="52277632"/>
        <c:axId val="52279552"/>
      </c:lineChart>
      <c:catAx>
        <c:axId val="52277632"/>
        <c:scaling>
          <c:orientation val="minMax"/>
        </c:scaling>
        <c:axPos val="b"/>
        <c:numFmt formatCode="General" sourceLinked="1"/>
        <c:tickLblPos val="nextTo"/>
        <c:spPr>
          <a:ln w="9525">
            <a:noFill/>
          </a:ln>
        </c:spPr>
        <c:txPr>
          <a:bodyPr rot="-2700000" vert="horz"/>
          <a:lstStyle/>
          <a:p>
            <a:pPr>
              <a:defRPr sz="800" b="0" i="0" u="none" strike="noStrike" baseline="0">
                <a:solidFill>
                  <a:srgbClr val="000000"/>
                </a:solidFill>
                <a:latin typeface="Arial"/>
                <a:ea typeface="Arial"/>
                <a:cs typeface="Arial"/>
              </a:defRPr>
            </a:pPr>
            <a:endParaRPr lang="en-US"/>
          </a:p>
        </c:txPr>
        <c:crossAx val="52279552"/>
        <c:crosses val="autoZero"/>
        <c:auto val="1"/>
        <c:lblAlgn val="ctr"/>
        <c:lblOffset val="100"/>
        <c:tickLblSkip val="1"/>
        <c:tickMarkSkip val="1"/>
      </c:catAx>
      <c:valAx>
        <c:axId val="52279552"/>
        <c:scaling>
          <c:orientation val="minMax"/>
          <c:max val="19"/>
          <c:min val="1"/>
        </c:scaling>
        <c:axPos val="l"/>
        <c:majorGridlines>
          <c:spPr>
            <a:ln w="3175">
              <a:solidFill>
                <a:srgbClr val="000000"/>
              </a:solidFill>
              <a:prstDash val="sys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277632"/>
        <c:crosses val="autoZero"/>
        <c:crossBetween val="between"/>
        <c:majorUnit val="1"/>
      </c:valAx>
      <c:spPr>
        <a:noFill/>
        <a:ln w="25400">
          <a:noFill/>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4">
    <tabColor indexed="26"/>
  </sheetPr>
  <sheetViews>
    <sheetView zoomScale="120" workbookViewId="0"/>
  </sheetViews>
  <sheetProtection password="8D61" content="1" objects="1"/>
  <pageMargins left="0.75" right="0.75" top="1" bottom="1" header="0.5" footer="0.5"/>
  <pageSetup orientation="landscape" horizontalDpi="4294967293" verticalDpi="300" r:id="rId1"/>
  <headerFooter alignWithMargins="0">
    <oddHeader>&amp;C&amp;"Geneva,Bold"&amp;14DUMONT/WILLIS WISC-IV Computer Template</oddHeader>
    <oddFooter>&amp;L&amp;8WISC-IV © The Psychological Corporation All rights reserved &amp;R&amp;8WISC-IV Template © Dumont - Willis 2003</oddFooter>
  </headerFooter>
  <drawing r:id="rId2"/>
</chartsheet>
</file>

<file path=xl/chartsheets/sheet2.xml><?xml version="1.0" encoding="utf-8"?>
<chartsheet xmlns="http://schemas.openxmlformats.org/spreadsheetml/2006/main" xmlns:r="http://schemas.openxmlformats.org/officeDocument/2006/relationships">
  <sheetPr codeName="Chart6">
    <tabColor indexed="26"/>
  </sheetPr>
  <sheetViews>
    <sheetView workbookViewId="0"/>
  </sheetViews>
  <sheetProtection password="8D61" content="1" objects="1"/>
  <pageMargins left="0.73" right="0.77" top="0.77" bottom="0.73" header="0.5" footer="0.5"/>
  <pageSetup orientation="landscape" r:id="rId1"/>
  <headerFooter alignWithMargins="0">
    <oddHeader>&amp;C&amp;"Geneva,Bold"&amp;14DUMONT/WILLIS WISC-IV Computer Template</oddHeader>
    <oddFooter>&amp;L&amp;8WISC-IV © The Psychological Corporation All rights reserved &amp;R&amp;8WISC-IV Template © Dumont - Willis 2003</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43925" cy="581977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0.148</cdr:x>
      <cdr:y>0.25325</cdr:y>
    </cdr:from>
    <cdr:to>
      <cdr:x>0.88925</cdr:x>
      <cdr:y>0.41575</cdr:y>
    </cdr:to>
    <cdr:sp macro="" textlink="">
      <cdr:nvSpPr>
        <cdr:cNvPr id="2049" name="Rectangle 1"/>
        <cdr:cNvSpPr>
          <a:spLocks xmlns:a="http://schemas.openxmlformats.org/drawingml/2006/main" noChangeArrowheads="1"/>
        </cdr:cNvSpPr>
      </cdr:nvSpPr>
      <cdr:spPr bwMode="auto">
        <a:xfrm xmlns:a="http://schemas.openxmlformats.org/drawingml/2006/main">
          <a:off x="1219645" y="1572794"/>
          <a:ext cx="6371632" cy="1046105"/>
        </a:xfrm>
        <a:prstGeom xmlns:a="http://schemas.openxmlformats.org/drawingml/2006/main" prst="rect">
          <a:avLst/>
        </a:prstGeom>
        <a:solidFill xmlns:a="http://schemas.openxmlformats.org/drawingml/2006/main">
          <a:schemeClr val="tx2">
            <a:lumMod val="40000"/>
            <a:lumOff val="60000"/>
            <a:alpha val="32000"/>
          </a:schemeClr>
        </a:solidFill>
        <a:ln xmlns:a="http://schemas.openxmlformats.org/drawingml/2006/main" w="9525">
          <a:solidFill>
            <a:srgbClr val="339966"/>
          </a:solid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43925" cy="62865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0.04459</cdr:x>
      <cdr:y>0.3545</cdr:y>
    </cdr:from>
    <cdr:to>
      <cdr:x>0.984</cdr:x>
      <cdr:y>0.58333</cdr:y>
    </cdr:to>
    <cdr:sp macro="" textlink="">
      <cdr:nvSpPr>
        <cdr:cNvPr id="10241" name="Rectangle 1"/>
        <cdr:cNvSpPr>
          <a:spLocks xmlns:a="http://schemas.openxmlformats.org/drawingml/2006/main" noChangeArrowheads="1"/>
        </cdr:cNvSpPr>
      </cdr:nvSpPr>
      <cdr:spPr bwMode="auto">
        <a:xfrm xmlns:a="http://schemas.openxmlformats.org/drawingml/2006/main">
          <a:off x="381001" y="2228564"/>
          <a:ext cx="8026222" cy="1438561"/>
        </a:xfrm>
        <a:prstGeom xmlns:a="http://schemas.openxmlformats.org/drawingml/2006/main" prst="rect">
          <a:avLst/>
        </a:prstGeom>
        <a:solidFill xmlns:a="http://schemas.openxmlformats.org/drawingml/2006/main">
          <a:schemeClr val="tx2">
            <a:lumMod val="20000"/>
            <a:lumOff val="80000"/>
            <a:alpha val="25000"/>
          </a:schemeClr>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duuser/Documents/aaDocuments/Articles%20Chapters%20Books/Chapter%20edits%20and%20updates/Misc%20Test%20Chapters%20and%20info/wisc%20iv/WISC%20IV%20data%20sheets%2011.16.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duuser/Documents/aaDocuments/Articles%20Chapters%20Books/Chapter%20edits%20and%20updates/WISC%20IV%20data%20sheets%2011.16.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IS%20IV%20Materia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cvalues"/>
      <sheetName val="Sheet2"/>
      <sheetName val="Sheet3"/>
      <sheetName val="Sheet5"/>
      <sheetName val="Sheet1"/>
      <sheetName val="admin order"/>
      <sheetName val="adhd"/>
      <sheetName val="BD bonus effect"/>
      <sheetName val="changes W1234"/>
      <sheetName val="changes W1234 (2)"/>
      <sheetName val="corr for all"/>
      <sheetName val="corr for all (2)"/>
      <sheetName val="demographics"/>
      <sheetName val="interp"/>
      <sheetName val="GFGc"/>
      <sheetName val="Gifted group"/>
      <sheetName val="factor solutions (2)"/>
      <sheetName val="factor solutions"/>
      <sheetName val="Mild MR group"/>
      <sheetName val="rdg group"/>
      <sheetName val="rdg vs math"/>
      <sheetName val="reliability"/>
      <sheetName val="Scaled Score ranges"/>
      <sheetName val="SS speed v acc"/>
      <sheetName val="scale corr"/>
      <sheetName val="Scatter"/>
      <sheetName val="sorted data"/>
      <sheetName val="substitutions"/>
      <sheetName val="t&amp;B for subs"/>
      <sheetName val="T&amp;B DWI2"/>
      <sheetName val="T&amp;B DWI (2)"/>
      <sheetName val="T&amp;B DWI"/>
      <sheetName val="t&amp;B for vci+wmi"/>
      <sheetName val="t&amp;B for fsiq"/>
      <sheetName val="t-retest subtests"/>
      <sheetName val="test retest indexes"/>
      <sheetName val="t-retest ss and ES"/>
      <sheetName val="Table B.1 additions"/>
      <sheetName val="Table B.1 sem"/>
      <sheetName val="validity corr"/>
      <sheetName val="validity ss diffs"/>
      <sheetName val="w4 v wais3"/>
      <sheetName val="w4 v wp3"/>
      <sheetName val="t&amp;B for BADWISC"/>
      <sheetName val="T&amp;B BADWISC table"/>
      <sheetName val="T&amp;B BADWISC2"/>
      <sheetName val="BADWISC2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2">
          <cell r="A22">
            <v>5.741164304833652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4"/>
      <sheetName val="cvalues"/>
      <sheetName val="Sheet2"/>
      <sheetName val="Sheet3"/>
      <sheetName val="Sheet5"/>
      <sheetName val="Sheet1"/>
      <sheetName val="admin order"/>
      <sheetName val="adhd"/>
      <sheetName val="BD bonus effect"/>
      <sheetName val="changes W1234"/>
      <sheetName val="changes W1234 (2)"/>
      <sheetName val="corr for all"/>
      <sheetName val="corr for all (2)"/>
      <sheetName val="demographics"/>
      <sheetName val="interp"/>
      <sheetName val="GFGc"/>
      <sheetName val="Gifted group"/>
      <sheetName val="factor solutions (2)"/>
      <sheetName val="factor solutions"/>
      <sheetName val="Mild MR group"/>
      <sheetName val="rdg group"/>
      <sheetName val="rdg vs math"/>
      <sheetName val="reliability"/>
      <sheetName val="Scaled Score ranges"/>
      <sheetName val="SS speed v acc"/>
      <sheetName val="scale corr"/>
      <sheetName val="Scatter"/>
      <sheetName val="sorted data"/>
      <sheetName val="substitutions"/>
      <sheetName val="t&amp;B for subs"/>
      <sheetName val="T&amp;B DWI2"/>
      <sheetName val="T&amp;B DWI (2)"/>
      <sheetName val="T&amp;B DWI"/>
      <sheetName val="t&amp;B for vci+wmi"/>
      <sheetName val="t&amp;B for fsiq"/>
      <sheetName val="t-retest subtests"/>
      <sheetName val="test retest indexes"/>
      <sheetName val="t-retest ss and ES"/>
      <sheetName val="Table B.1 additions"/>
      <sheetName val="Table B.1 sem"/>
      <sheetName val="validity corr"/>
      <sheetName val="validity ss diffs"/>
      <sheetName val="w4 v wais3"/>
      <sheetName val="w4 v wp3"/>
      <sheetName val="t&amp;B for BADWISC"/>
      <sheetName val="T&amp;B BADWISC table"/>
      <sheetName val="T&amp;B BADWISC2"/>
      <sheetName val="BADWISC2 table"/>
      <sheetName val="t&amp;B for subs (2)"/>
      <sheetName val="t&amp;B for BADWISC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2">
          <cell r="A32">
            <v>3</v>
          </cell>
        </row>
      </sheetData>
      <sheetData sheetId="30">
        <row r="9">
          <cell r="F9">
            <v>2.25</v>
          </cell>
        </row>
      </sheetData>
      <sheetData sheetId="31"/>
      <sheetData sheetId="32">
        <row r="66">
          <cell r="E66">
            <v>40</v>
          </cell>
          <cell r="F66">
            <v>62</v>
          </cell>
          <cell r="G66">
            <v>68</v>
          </cell>
          <cell r="H66">
            <v>71</v>
          </cell>
          <cell r="I66">
            <v>73</v>
          </cell>
          <cell r="J66">
            <v>75</v>
          </cell>
          <cell r="K66">
            <v>77</v>
          </cell>
          <cell r="L66">
            <v>78</v>
          </cell>
          <cell r="M66">
            <v>79</v>
          </cell>
          <cell r="N66">
            <v>80</v>
          </cell>
          <cell r="O66">
            <v>81</v>
          </cell>
          <cell r="P66">
            <v>82</v>
          </cell>
          <cell r="Q66">
            <v>83</v>
          </cell>
          <cell r="R66">
            <v>84</v>
          </cell>
          <cell r="S66">
            <v>85</v>
          </cell>
          <cell r="T66">
            <v>86</v>
          </cell>
          <cell r="U66">
            <v>87</v>
          </cell>
          <cell r="V66">
            <v>88</v>
          </cell>
          <cell r="W66">
            <v>89</v>
          </cell>
          <cell r="X66">
            <v>90</v>
          </cell>
          <cell r="Y66">
            <v>91</v>
          </cell>
          <cell r="Z66">
            <v>92</v>
          </cell>
          <cell r="AA66">
            <v>93</v>
          </cell>
          <cell r="AB66">
            <v>94</v>
          </cell>
          <cell r="AC66">
            <v>95</v>
          </cell>
          <cell r="AD66">
            <v>96</v>
          </cell>
          <cell r="AE66">
            <v>97</v>
          </cell>
          <cell r="AF66">
            <v>98</v>
          </cell>
          <cell r="AG66">
            <v>99</v>
          </cell>
          <cell r="AH66">
            <v>100</v>
          </cell>
          <cell r="AI66">
            <v>101</v>
          </cell>
          <cell r="AJ66">
            <v>102</v>
          </cell>
          <cell r="AK66">
            <v>103</v>
          </cell>
          <cell r="AL66">
            <v>104</v>
          </cell>
          <cell r="AM66">
            <v>105</v>
          </cell>
          <cell r="AN66">
            <v>106</v>
          </cell>
          <cell r="AO66">
            <v>107</v>
          </cell>
          <cell r="AP66">
            <v>108</v>
          </cell>
          <cell r="AQ66">
            <v>109</v>
          </cell>
          <cell r="AR66">
            <v>110</v>
          </cell>
          <cell r="AS66">
            <v>111</v>
          </cell>
          <cell r="AT66">
            <v>112</v>
          </cell>
          <cell r="AU66">
            <v>113</v>
          </cell>
          <cell r="AV66">
            <v>114</v>
          </cell>
          <cell r="AW66">
            <v>115</v>
          </cell>
          <cell r="AX66">
            <v>116</v>
          </cell>
          <cell r="AY66">
            <v>117</v>
          </cell>
          <cell r="AZ66">
            <v>118</v>
          </cell>
          <cell r="BA66">
            <v>119</v>
          </cell>
          <cell r="BB66">
            <v>120</v>
          </cell>
          <cell r="BC66">
            <v>121</v>
          </cell>
          <cell r="BD66">
            <v>122</v>
          </cell>
          <cell r="BE66">
            <v>123</v>
          </cell>
          <cell r="BF66">
            <v>124</v>
          </cell>
          <cell r="BG66">
            <v>126</v>
          </cell>
          <cell r="BH66">
            <v>129</v>
          </cell>
          <cell r="BI66">
            <v>131</v>
          </cell>
          <cell r="BJ66">
            <v>133</v>
          </cell>
        </row>
        <row r="67">
          <cell r="E67">
            <v>1</v>
          </cell>
          <cell r="F67">
            <v>1</v>
          </cell>
          <cell r="G67">
            <v>2</v>
          </cell>
          <cell r="H67">
            <v>3</v>
          </cell>
          <cell r="I67">
            <v>4</v>
          </cell>
          <cell r="J67">
            <v>5</v>
          </cell>
          <cell r="K67">
            <v>6</v>
          </cell>
          <cell r="L67">
            <v>7</v>
          </cell>
          <cell r="M67">
            <v>8</v>
          </cell>
          <cell r="N67">
            <v>9</v>
          </cell>
          <cell r="O67">
            <v>10</v>
          </cell>
          <cell r="P67">
            <v>12</v>
          </cell>
          <cell r="Q67">
            <v>13</v>
          </cell>
          <cell r="R67">
            <v>14</v>
          </cell>
          <cell r="S67">
            <v>16</v>
          </cell>
          <cell r="T67">
            <v>18</v>
          </cell>
          <cell r="U67">
            <v>19</v>
          </cell>
          <cell r="V67">
            <v>21</v>
          </cell>
          <cell r="W67">
            <v>23</v>
          </cell>
          <cell r="X67">
            <v>25</v>
          </cell>
          <cell r="Y67">
            <v>27</v>
          </cell>
          <cell r="Z67">
            <v>30</v>
          </cell>
          <cell r="AA67">
            <v>32</v>
          </cell>
          <cell r="AB67">
            <v>34</v>
          </cell>
          <cell r="AC67">
            <v>37</v>
          </cell>
          <cell r="AD67">
            <v>39</v>
          </cell>
          <cell r="AE67">
            <v>42</v>
          </cell>
          <cell r="AF67">
            <v>45</v>
          </cell>
          <cell r="AG67">
            <v>47</v>
          </cell>
          <cell r="AH67">
            <v>50</v>
          </cell>
          <cell r="AI67">
            <v>53</v>
          </cell>
          <cell r="AJ67">
            <v>55</v>
          </cell>
          <cell r="AK67">
            <v>58</v>
          </cell>
          <cell r="AL67">
            <v>61</v>
          </cell>
          <cell r="AM67">
            <v>63</v>
          </cell>
          <cell r="AN67">
            <v>66</v>
          </cell>
          <cell r="AO67">
            <v>68</v>
          </cell>
          <cell r="AP67">
            <v>70</v>
          </cell>
          <cell r="AQ67">
            <v>73</v>
          </cell>
          <cell r="AR67">
            <v>75</v>
          </cell>
          <cell r="AS67">
            <v>77</v>
          </cell>
          <cell r="AT67">
            <v>79</v>
          </cell>
          <cell r="AU67">
            <v>81</v>
          </cell>
          <cell r="AV67">
            <v>82</v>
          </cell>
          <cell r="AW67">
            <v>84</v>
          </cell>
          <cell r="AX67">
            <v>86</v>
          </cell>
          <cell r="AY67">
            <v>87</v>
          </cell>
          <cell r="AZ67">
            <v>88</v>
          </cell>
          <cell r="BA67">
            <v>90</v>
          </cell>
          <cell r="BB67">
            <v>91</v>
          </cell>
          <cell r="BC67">
            <v>92</v>
          </cell>
          <cell r="BD67">
            <v>93</v>
          </cell>
          <cell r="BE67">
            <v>94</v>
          </cell>
          <cell r="BF67">
            <v>95</v>
          </cell>
          <cell r="BG67">
            <v>96</v>
          </cell>
          <cell r="BH67">
            <v>97</v>
          </cell>
          <cell r="BI67">
            <v>98</v>
          </cell>
          <cell r="BJ67">
            <v>99</v>
          </cell>
        </row>
      </sheetData>
      <sheetData sheetId="33">
        <row r="13">
          <cell r="J13">
            <v>15.049999999999999</v>
          </cell>
        </row>
      </sheetData>
      <sheetData sheetId="34">
        <row r="12">
          <cell r="I12">
            <v>7.4799999999999995</v>
          </cell>
        </row>
        <row r="14">
          <cell r="A14">
            <v>0.95849236641221369</v>
          </cell>
        </row>
        <row r="22">
          <cell r="A22">
            <v>5.741164304833652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iability"/>
      <sheetName val="CVs"/>
      <sheetName val="corr matrix"/>
      <sheetName val="changes W1234"/>
      <sheetName val="g loading"/>
      <sheetName val="% of Pop. with Discrepancies"/>
      <sheetName val="DS PRs"/>
      <sheetName val="SS speed v acc"/>
      <sheetName val="substitutions"/>
      <sheetName val="t&amp;B for subs"/>
      <sheetName val="T&amp;B DWI2"/>
      <sheetName val="corr matrix (2)"/>
      <sheetName val="TB for Indexes"/>
      <sheetName val="TB for GAI"/>
      <sheetName val="TB GAI2"/>
      <sheetName val="Sheet1"/>
      <sheetName val="table of results example"/>
      <sheetName val="Corr mat"/>
      <sheetName val="gifted"/>
      <sheetName val="adhd"/>
      <sheetName val="sem"/>
      <sheetName val="rel"/>
      <sheetName val="stability"/>
      <sheetName val="w4-w3"/>
      <sheetName val="w4-wisc4"/>
      <sheetName val="math"/>
      <sheetName val="reading"/>
      <sheetName val="Ways to Sort"/>
      <sheetName val="Sheet3"/>
      <sheetName val="Sheet4"/>
      <sheetName val="Conditional probability"/>
    </sheetNames>
    <sheetDataSet>
      <sheetData sheetId="0"/>
      <sheetData sheetId="1">
        <row r="18">
          <cell r="F18">
            <v>16.649999999999999</v>
          </cell>
        </row>
        <row r="34">
          <cell r="F34">
            <v>10.079999999999998</v>
          </cell>
        </row>
      </sheetData>
      <sheetData sheetId="2"/>
      <sheetData sheetId="3"/>
      <sheetData sheetId="4"/>
      <sheetData sheetId="5"/>
      <sheetData sheetId="6"/>
      <sheetData sheetId="7"/>
      <sheetData sheetId="8"/>
      <sheetData sheetId="9"/>
      <sheetData sheetId="10"/>
      <sheetData sheetId="11"/>
      <sheetData sheetId="12"/>
      <sheetData sheetId="13">
        <row r="15">
          <cell r="I15">
            <v>7.9999999999999991</v>
          </cell>
        </row>
        <row r="19">
          <cell r="A19">
            <v>0.97272727272727266</v>
          </cell>
        </row>
      </sheetData>
      <sheetData sheetId="14">
        <row r="11">
          <cell r="H11">
            <v>2.9</v>
          </cell>
        </row>
        <row r="17">
          <cell r="A17">
            <v>0.946938775510204</v>
          </cell>
        </row>
        <row r="25">
          <cell r="A25">
            <v>6.4129501632180501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2" enableFormatConditionsCalculation="0">
    <tabColor indexed="10"/>
  </sheetPr>
  <dimension ref="A1:N22"/>
  <sheetViews>
    <sheetView showGridLines="0" workbookViewId="0">
      <selection activeCell="A3" sqref="A3"/>
    </sheetView>
  </sheetViews>
  <sheetFormatPr defaultRowHeight="12"/>
  <cols>
    <col min="1" max="1" width="108.140625" customWidth="1"/>
  </cols>
  <sheetData>
    <row r="1" spans="1:1" ht="27" customHeight="1">
      <c r="A1" s="210" t="s">
        <v>264</v>
      </c>
    </row>
    <row r="2" spans="1:1" ht="6" customHeight="1">
      <c r="A2" s="210"/>
    </row>
    <row r="3" spans="1:1" ht="38.25" customHeight="1">
      <c r="A3" s="210" t="s">
        <v>405</v>
      </c>
    </row>
    <row r="4" spans="1:1" ht="4.5" customHeight="1">
      <c r="A4" s="210"/>
    </row>
    <row r="5" spans="1:1" ht="40.5">
      <c r="A5" s="210" t="s">
        <v>268</v>
      </c>
    </row>
    <row r="6" spans="1:1" ht="6.75" customHeight="1">
      <c r="A6" s="210"/>
    </row>
    <row r="7" spans="1:1" ht="18.75" customHeight="1">
      <c r="A7" s="211" t="s">
        <v>265</v>
      </c>
    </row>
    <row r="8" spans="1:1" ht="5.25" customHeight="1">
      <c r="A8" s="210"/>
    </row>
    <row r="9" spans="1:1" ht="47.25" customHeight="1">
      <c r="A9" s="210" t="s">
        <v>269</v>
      </c>
    </row>
    <row r="10" spans="1:1" ht="6" customHeight="1">
      <c r="A10" s="44"/>
    </row>
    <row r="11" spans="1:1" ht="18" customHeight="1">
      <c r="A11" s="212" t="s">
        <v>451</v>
      </c>
    </row>
    <row r="12" spans="1:1" ht="4.5" customHeight="1">
      <c r="A12" s="212"/>
    </row>
    <row r="13" spans="1:1" ht="18" customHeight="1">
      <c r="A13" s="212" t="s">
        <v>266</v>
      </c>
    </row>
    <row r="14" spans="1:1" ht="6" customHeight="1">
      <c r="A14" s="212"/>
    </row>
    <row r="15" spans="1:1" ht="20.25" customHeight="1">
      <c r="A15" s="212" t="s">
        <v>452</v>
      </c>
    </row>
    <row r="16" spans="1:1" ht="5.25" customHeight="1">
      <c r="A16" s="213"/>
    </row>
    <row r="17" spans="1:14" ht="29.25" customHeight="1">
      <c r="A17" s="214" t="s">
        <v>453</v>
      </c>
    </row>
    <row r="18" spans="1:14" ht="5.25" customHeight="1">
      <c r="A18" s="213"/>
    </row>
    <row r="19" spans="1:14" ht="36.75" customHeight="1">
      <c r="A19" s="93" t="s">
        <v>267</v>
      </c>
      <c r="B19" s="92"/>
      <c r="C19" s="92"/>
      <c r="D19" s="92"/>
      <c r="E19" s="92"/>
      <c r="F19" s="92"/>
      <c r="G19" s="92"/>
      <c r="H19" s="92"/>
      <c r="I19" s="92"/>
      <c r="J19" s="92"/>
      <c r="K19" s="92"/>
      <c r="L19" s="92"/>
      <c r="M19" s="92"/>
      <c r="N19" s="92"/>
    </row>
    <row r="20" spans="1:14" ht="13.5" customHeight="1">
      <c r="A20" s="92"/>
      <c r="B20" s="92"/>
      <c r="C20" s="92"/>
      <c r="D20" s="92"/>
      <c r="E20" s="92"/>
      <c r="F20" s="92"/>
      <c r="G20" s="92"/>
      <c r="H20" s="92"/>
      <c r="I20" s="92"/>
      <c r="J20" s="92"/>
      <c r="K20" s="92"/>
      <c r="L20" s="92"/>
      <c r="M20" s="92"/>
      <c r="N20" s="92"/>
    </row>
    <row r="21" spans="1:14" ht="13.5" customHeight="1">
      <c r="A21" s="92"/>
      <c r="B21" s="92"/>
      <c r="C21" s="92"/>
      <c r="D21" s="92"/>
      <c r="E21" s="92"/>
      <c r="F21" s="92"/>
      <c r="G21" s="92"/>
      <c r="H21" s="92"/>
      <c r="I21" s="92"/>
      <c r="J21" s="92"/>
      <c r="K21" s="92"/>
      <c r="L21" s="92"/>
      <c r="M21" s="92"/>
      <c r="N21" s="92"/>
    </row>
    <row r="22" spans="1:14" ht="13.5" customHeight="1"/>
  </sheetData>
  <sheetProtection password="8D61" sheet="1" objects="1" scenarios="1" selectLockedCells="1" selectUnlockedCells="1"/>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 enableFormatConditionsCalculation="0">
    <tabColor rgb="FF0070C0"/>
  </sheetPr>
  <dimension ref="A1:DT478"/>
  <sheetViews>
    <sheetView showGridLines="0" tabSelected="1" zoomScale="120" zoomScaleNormal="120" workbookViewId="0">
      <selection activeCell="D5" sqref="D5"/>
    </sheetView>
  </sheetViews>
  <sheetFormatPr defaultColWidth="12.85546875" defaultRowHeight="11.25"/>
  <cols>
    <col min="1" max="1" width="1.140625" style="2" customWidth="1"/>
    <col min="2" max="2" width="4" style="2" customWidth="1"/>
    <col min="3" max="3" width="3.42578125" style="2" customWidth="1"/>
    <col min="4" max="4" width="25.7109375" style="2" customWidth="1"/>
    <col min="5" max="5" width="0.5703125" style="2" customWidth="1"/>
    <col min="6" max="6" width="5" style="2" customWidth="1"/>
    <col min="7" max="11" width="5.140625" style="2" customWidth="1"/>
    <col min="12" max="12" width="5" style="2" customWidth="1"/>
    <col min="13" max="13" width="5.140625" style="2" customWidth="1"/>
    <col min="14" max="14" width="4.85546875" style="2" customWidth="1"/>
    <col min="15" max="15" width="5.85546875" style="2" customWidth="1"/>
    <col min="16" max="16" width="5.5703125" style="2" customWidth="1"/>
    <col min="17" max="17" width="6.140625" style="2" customWidth="1"/>
    <col min="18" max="18" width="3.5703125" style="148" bestFit="1" customWidth="1"/>
    <col min="19" max="19" width="4.7109375" style="218" customWidth="1"/>
    <col min="20" max="20" width="7.42578125" style="218" hidden="1" customWidth="1"/>
    <col min="21" max="21" width="18.42578125" style="218" bestFit="1" customWidth="1"/>
    <col min="22" max="22" width="96.7109375" style="218" bestFit="1" customWidth="1"/>
    <col min="23" max="23" width="91.42578125" style="218" bestFit="1" customWidth="1"/>
    <col min="24" max="24" width="12" style="218" bestFit="1" customWidth="1"/>
    <col min="25" max="25" width="7.42578125" style="218" bestFit="1" customWidth="1"/>
    <col min="26" max="26" width="6.85546875" style="218" bestFit="1" customWidth="1"/>
    <col min="27" max="28" width="5.28515625" style="218" bestFit="1" customWidth="1"/>
    <col min="29" max="29" width="20.140625" style="218" bestFit="1" customWidth="1"/>
    <col min="30" max="30" width="7.5703125" style="218" bestFit="1" customWidth="1"/>
    <col min="31" max="31" width="7.140625" style="218" bestFit="1" customWidth="1"/>
    <col min="32" max="32" width="9.28515625" style="218" bestFit="1" customWidth="1"/>
    <col min="33" max="33" width="5.140625" style="218" bestFit="1" customWidth="1"/>
    <col min="34" max="34" width="8.28515625" style="218" bestFit="1" customWidth="1"/>
    <col min="35" max="35" width="10.42578125" style="218" bestFit="1" customWidth="1"/>
    <col min="36" max="36" width="5.140625" style="218" bestFit="1" customWidth="1"/>
    <col min="37" max="37" width="7.140625" style="218" bestFit="1" customWidth="1"/>
    <col min="38" max="38" width="3.7109375" style="218" bestFit="1" customWidth="1"/>
    <col min="39" max="39" width="4.140625" style="218" bestFit="1" customWidth="1"/>
    <col min="40" max="48" width="3.5703125" style="218" bestFit="1" customWidth="1"/>
    <col min="49" max="49" width="8.42578125" style="218" bestFit="1" customWidth="1"/>
    <col min="50" max="50" width="4.140625" style="218" bestFit="1" customWidth="1"/>
    <col min="51" max="70" width="3.5703125" style="218" bestFit="1" customWidth="1"/>
    <col min="71" max="85" width="3.5703125" style="157" bestFit="1" customWidth="1"/>
    <col min="86" max="133" width="5.42578125" style="2" customWidth="1"/>
    <col min="134" max="16384" width="12.85546875" style="2"/>
  </cols>
  <sheetData>
    <row r="1" spans="1:38">
      <c r="A1" s="404" t="s">
        <v>294</v>
      </c>
      <c r="B1" s="404"/>
      <c r="C1" s="404"/>
      <c r="D1" s="404"/>
      <c r="E1" s="404"/>
      <c r="F1" s="404"/>
      <c r="G1" s="404"/>
      <c r="H1" s="404"/>
      <c r="I1" s="404"/>
      <c r="J1" s="404"/>
      <c r="K1" s="404"/>
      <c r="L1" s="404"/>
      <c r="M1" s="404"/>
      <c r="N1" s="404"/>
      <c r="O1" s="404"/>
      <c r="P1" s="404"/>
      <c r="Q1" s="404"/>
      <c r="R1" s="404"/>
    </row>
    <row r="2" spans="1:38" ht="20.25">
      <c r="A2" s="405" t="s">
        <v>293</v>
      </c>
      <c r="B2" s="405"/>
      <c r="C2" s="405"/>
      <c r="D2" s="405"/>
      <c r="E2" s="405"/>
      <c r="F2" s="405"/>
      <c r="G2" s="405"/>
      <c r="H2" s="405"/>
      <c r="I2" s="405"/>
      <c r="J2" s="405"/>
      <c r="K2" s="405"/>
      <c r="L2" s="405"/>
      <c r="M2" s="405"/>
      <c r="N2" s="405"/>
      <c r="O2" s="405"/>
      <c r="P2" s="405"/>
      <c r="Q2" s="405"/>
      <c r="R2" s="405"/>
    </row>
    <row r="3" spans="1:38">
      <c r="A3" s="406" t="s">
        <v>291</v>
      </c>
      <c r="B3" s="407"/>
      <c r="C3" s="407"/>
      <c r="D3" s="407"/>
      <c r="E3" s="407"/>
      <c r="F3" s="407"/>
      <c r="G3" s="407"/>
      <c r="H3" s="407"/>
      <c r="I3" s="407"/>
      <c r="J3" s="407"/>
      <c r="K3" s="407"/>
      <c r="L3" s="407"/>
      <c r="M3" s="407"/>
      <c r="N3" s="407"/>
      <c r="O3" s="407"/>
      <c r="P3" s="407"/>
      <c r="Q3" s="407"/>
      <c r="R3" s="407"/>
    </row>
    <row r="5" spans="1:38" ht="21" customHeight="1">
      <c r="B5" s="5"/>
      <c r="C5" s="6" t="s">
        <v>113</v>
      </c>
      <c r="D5" s="143" t="s">
        <v>450</v>
      </c>
      <c r="E5" s="7"/>
      <c r="F5" s="5"/>
      <c r="G5" s="6" t="s">
        <v>146</v>
      </c>
      <c r="H5" s="408">
        <v>38391</v>
      </c>
      <c r="I5" s="408"/>
      <c r="J5" s="8"/>
      <c r="K5" s="7"/>
      <c r="L5" s="7"/>
      <c r="M5" s="9" t="s">
        <v>120</v>
      </c>
      <c r="N5" s="410">
        <f ca="1">NOW()</f>
        <v>39069.105779745369</v>
      </c>
      <c r="O5" s="410"/>
      <c r="P5" s="7"/>
      <c r="Q5" s="10"/>
      <c r="R5" s="149"/>
      <c r="S5" s="220"/>
      <c r="U5" s="218">
        <f>YEAR(H5)</f>
        <v>2009</v>
      </c>
      <c r="V5" s="218">
        <f>MONTH(H5)</f>
        <v>2</v>
      </c>
      <c r="W5" s="218">
        <f>DAY(H5)</f>
        <v>9</v>
      </c>
      <c r="X5" s="218">
        <f>IF(Y6&gt;Z5,U5-1,U5)</f>
        <v>2008</v>
      </c>
      <c r="Y5" s="218">
        <f>IF(Y6&gt;Z5,Z5+12,Z5)</f>
        <v>14</v>
      </c>
      <c r="Z5" s="218">
        <f>IF(AA6&gt;W5,V5-1,V5)</f>
        <v>2</v>
      </c>
      <c r="AA5" s="218">
        <f>IF(AA6&gt;W5,W5+30,W5)</f>
        <v>9</v>
      </c>
    </row>
    <row r="6" spans="1:38" ht="15.75" customHeight="1">
      <c r="B6" s="7"/>
      <c r="C6" s="7"/>
      <c r="D6" s="7"/>
      <c r="E6" s="12"/>
      <c r="F6" s="5"/>
      <c r="G6" s="6" t="s">
        <v>118</v>
      </c>
      <c r="H6" s="409">
        <v>29164</v>
      </c>
      <c r="I6" s="409"/>
      <c r="J6" s="13"/>
      <c r="K6" s="7"/>
      <c r="L6" s="12"/>
      <c r="M6" s="14" t="s">
        <v>117</v>
      </c>
      <c r="N6" s="15" t="str">
        <f>AC7</f>
        <v>25 years, 3 months, 3 days</v>
      </c>
      <c r="O6" s="7"/>
      <c r="P6" s="5"/>
      <c r="Q6" s="12"/>
      <c r="R6" s="149"/>
      <c r="S6" s="220"/>
      <c r="X6" s="218">
        <f>YEAR(H6)</f>
        <v>1983</v>
      </c>
      <c r="Y6" s="218">
        <f>MONTH(H6)</f>
        <v>11</v>
      </c>
      <c r="AA6" s="218">
        <f>DAY(H6)</f>
        <v>6</v>
      </c>
    </row>
    <row r="7" spans="1:38" ht="5.25" customHeight="1">
      <c r="M7" s="16"/>
      <c r="N7" s="16"/>
      <c r="O7" s="11"/>
      <c r="P7" s="11"/>
      <c r="Q7" s="11"/>
      <c r="R7" s="149"/>
      <c r="S7" s="220"/>
      <c r="X7" s="218">
        <f>X5-X6</f>
        <v>25</v>
      </c>
      <c r="Y7" s="218">
        <f>Y5-Y6</f>
        <v>3</v>
      </c>
      <c r="AA7" s="218">
        <f>AA5-AA6</f>
        <v>3</v>
      </c>
      <c r="AC7" s="218" t="str">
        <f>X7&amp;" years, "&amp;Y7&amp;Y8&amp;AA7&amp;AA8</f>
        <v>25 years, 3 months, 3 days</v>
      </c>
    </row>
    <row r="8" spans="1:38" ht="2.25" customHeight="1">
      <c r="C8" s="17"/>
      <c r="D8" s="18" t="s">
        <v>0</v>
      </c>
      <c r="E8" s="19" t="s">
        <v>0</v>
      </c>
      <c r="F8" s="19" t="s">
        <v>0</v>
      </c>
      <c r="G8" s="19" t="s">
        <v>0</v>
      </c>
      <c r="H8" s="19" t="s">
        <v>0</v>
      </c>
      <c r="I8" s="19" t="s">
        <v>0</v>
      </c>
      <c r="J8" s="19" t="s">
        <v>0</v>
      </c>
      <c r="K8" s="19" t="s">
        <v>0</v>
      </c>
      <c r="N8" s="400" t="str">
        <f>IF(OR(X7&lt;16,X7&gt;99),"The age computed is not supported by the WAIS-IV","")</f>
        <v/>
      </c>
      <c r="O8" s="400"/>
      <c r="P8" s="400"/>
      <c r="Q8" s="400"/>
      <c r="R8" s="400"/>
      <c r="S8" s="220"/>
      <c r="T8" s="218">
        <f>FIND(" ",D5)</f>
        <v>2</v>
      </c>
      <c r="U8" s="218" t="str">
        <f>MID(D5,1,T8-1)</f>
        <v>M</v>
      </c>
      <c r="Y8" s="218" t="str">
        <f>IF(Y7=1," month, "," months, ")</f>
        <v xml:space="preserve"> months, </v>
      </c>
      <c r="AA8" s="218" t="str">
        <f>IF(AA7=1," day"," days")</f>
        <v xml:space="preserve"> days</v>
      </c>
    </row>
    <row r="9" spans="1:38" ht="1.5" customHeight="1">
      <c r="C9" s="20"/>
      <c r="D9" s="18"/>
      <c r="E9" s="19"/>
      <c r="F9" s="19"/>
      <c r="G9" s="19"/>
      <c r="H9" s="19"/>
      <c r="I9" s="19"/>
      <c r="J9" s="19"/>
      <c r="K9" s="19"/>
      <c r="L9" s="19"/>
      <c r="M9" s="206"/>
      <c r="N9" s="400"/>
      <c r="O9" s="400"/>
      <c r="P9" s="400"/>
      <c r="Q9" s="400"/>
      <c r="R9" s="400"/>
      <c r="S9" s="220"/>
      <c r="W9" s="218">
        <v>1</v>
      </c>
      <c r="X9" s="218">
        <v>2</v>
      </c>
      <c r="Y9" s="218" t="s">
        <v>119</v>
      </c>
      <c r="Z9" s="218">
        <v>4</v>
      </c>
      <c r="AA9" s="218">
        <v>5</v>
      </c>
      <c r="AB9" s="218">
        <v>6</v>
      </c>
      <c r="AC9" s="218">
        <v>7</v>
      </c>
      <c r="AD9" s="218">
        <v>8</v>
      </c>
      <c r="AE9" s="218">
        <v>9</v>
      </c>
      <c r="AF9" s="218">
        <v>10</v>
      </c>
      <c r="AG9" s="218">
        <v>11</v>
      </c>
      <c r="AH9" s="218">
        <v>12</v>
      </c>
      <c r="AI9" s="218">
        <v>13</v>
      </c>
    </row>
    <row r="10" spans="1:38" ht="2.25" customHeight="1">
      <c r="C10" s="20"/>
      <c r="D10" s="21"/>
      <c r="E10" s="21"/>
      <c r="F10" s="21"/>
      <c r="G10" s="21"/>
      <c r="H10" s="21"/>
      <c r="I10" s="21"/>
      <c r="L10" s="19"/>
      <c r="M10" s="206"/>
      <c r="N10" s="400"/>
      <c r="O10" s="400"/>
      <c r="P10" s="400"/>
      <c r="Q10" s="400"/>
      <c r="R10" s="400"/>
      <c r="S10" s="220"/>
      <c r="W10" s="218">
        <v>16</v>
      </c>
      <c r="X10" s="218">
        <v>18</v>
      </c>
      <c r="Y10" s="218">
        <v>20</v>
      </c>
      <c r="Z10" s="218">
        <v>25</v>
      </c>
      <c r="AA10" s="218">
        <v>30</v>
      </c>
      <c r="AB10" s="218">
        <v>35</v>
      </c>
      <c r="AC10" s="218">
        <v>45</v>
      </c>
      <c r="AD10" s="218">
        <v>55</v>
      </c>
      <c r="AE10" s="218">
        <v>65</v>
      </c>
      <c r="AF10" s="218">
        <v>70</v>
      </c>
      <c r="AG10" s="218">
        <v>75</v>
      </c>
      <c r="AH10" s="218">
        <v>80</v>
      </c>
      <c r="AI10" s="218">
        <v>85</v>
      </c>
    </row>
    <row r="11" spans="1:38" ht="23.25" customHeight="1" thickBot="1">
      <c r="C11" s="11"/>
      <c r="D11" s="208" t="s">
        <v>1</v>
      </c>
      <c r="E11" s="145"/>
      <c r="F11" s="155" t="s">
        <v>2</v>
      </c>
      <c r="G11" s="146" t="s">
        <v>148</v>
      </c>
      <c r="H11" s="146" t="s">
        <v>149</v>
      </c>
      <c r="I11" s="146" t="s">
        <v>150</v>
      </c>
      <c r="J11" s="146" t="s">
        <v>104</v>
      </c>
      <c r="K11" s="147" t="s">
        <v>16</v>
      </c>
      <c r="L11" s="156" t="s">
        <v>114</v>
      </c>
      <c r="N11" s="400"/>
      <c r="O11" s="400"/>
      <c r="P11" s="400"/>
      <c r="Q11" s="400"/>
      <c r="R11" s="400"/>
      <c r="S11" s="220"/>
      <c r="W11" s="218" t="e">
        <f>LOOKUP(N6,W10:AI10,W9:AI9)</f>
        <v>#N/A</v>
      </c>
      <c r="X11" s="218" t="s">
        <v>4</v>
      </c>
    </row>
    <row r="12" spans="1:38" ht="21.75" customHeight="1">
      <c r="B12" s="411" t="s">
        <v>327</v>
      </c>
      <c r="C12" s="411"/>
      <c r="D12" s="25"/>
      <c r="E12" s="26"/>
      <c r="F12" s="144">
        <v>10</v>
      </c>
      <c r="G12" s="27"/>
      <c r="H12" s="28">
        <f ca="1">IF(bd="","",IF(U12=0,"("&amp;bd&amp;")",bd))</f>
        <v>10</v>
      </c>
      <c r="I12" s="27"/>
      <c r="J12" s="26"/>
      <c r="K12" s="27">
        <f>IF(U12=0,"",IF(F12="","",F12))</f>
        <v>10</v>
      </c>
      <c r="L12" s="29">
        <f t="shared" ref="L12:L26" si="0">IF(F12="","",LOOKUP(F12,$D$344:$W$344,$D$345:$W$345))</f>
        <v>50</v>
      </c>
      <c r="N12" s="392" t="str">
        <f>IF(W21&gt;3,"You have selected too many subtests for calculation of a Verbal Comprehension Scale",IF(W21&lt;3,"You have selected too few subtests for calculation of a Verbal Comprehension Scale",""))</f>
        <v/>
      </c>
      <c r="O12" s="392"/>
      <c r="P12" s="392"/>
      <c r="Q12" s="392"/>
      <c r="R12" s="392"/>
      <c r="S12" s="220" t="s">
        <v>109</v>
      </c>
      <c r="T12" s="215" t="b">
        <v>1</v>
      </c>
      <c r="U12" s="218">
        <f>IF(T12=TRUE,1,0)</f>
        <v>1</v>
      </c>
      <c r="V12" s="218" t="s">
        <v>160</v>
      </c>
      <c r="W12" s="219" t="s">
        <v>148</v>
      </c>
      <c r="X12" s="219"/>
      <c r="Y12" s="219" t="s">
        <v>149</v>
      </c>
      <c r="Z12" s="219" t="s">
        <v>6</v>
      </c>
      <c r="AA12" s="219" t="s">
        <v>7</v>
      </c>
      <c r="AB12" s="219"/>
      <c r="AC12" s="219" t="s">
        <v>101</v>
      </c>
      <c r="AD12" s="219"/>
      <c r="AE12" s="219" t="s">
        <v>7</v>
      </c>
      <c r="AG12" s="218" t="s">
        <v>8</v>
      </c>
    </row>
    <row r="13" spans="1:38" ht="21.75" customHeight="1">
      <c r="B13" s="411"/>
      <c r="C13" s="411"/>
      <c r="D13" s="30"/>
      <c r="E13" s="26"/>
      <c r="F13" s="144">
        <v>16</v>
      </c>
      <c r="G13" s="28">
        <f>IF(F13="","",IF(U13=0,"("&amp;F13&amp;")",F13))</f>
        <v>16</v>
      </c>
      <c r="H13" s="26"/>
      <c r="I13" s="27"/>
      <c r="J13" s="26"/>
      <c r="K13" s="27">
        <f t="shared" ref="K13:K20" si="1">IF(U13=0,"",IF(F13="","",F13))</f>
        <v>16</v>
      </c>
      <c r="L13" s="29">
        <f t="shared" si="0"/>
        <v>98</v>
      </c>
      <c r="N13" s="392"/>
      <c r="O13" s="392"/>
      <c r="P13" s="392"/>
      <c r="Q13" s="392"/>
      <c r="R13" s="392"/>
      <c r="S13" s="220" t="s">
        <v>173</v>
      </c>
      <c r="T13" s="215" t="b">
        <v>1</v>
      </c>
      <c r="U13" s="218">
        <f t="shared" ref="U13:U26" si="2">IF(T13=TRUE,1,0)</f>
        <v>1</v>
      </c>
      <c r="V13" s="218" t="s">
        <v>106</v>
      </c>
      <c r="W13" s="219">
        <f>G28</f>
        <v>39</v>
      </c>
      <c r="X13" s="219"/>
      <c r="Y13" s="219">
        <f>H28</f>
        <v>35</v>
      </c>
      <c r="Z13" s="219">
        <f>K28</f>
        <v>117</v>
      </c>
      <c r="AA13" s="219">
        <f>I28</f>
        <v>28</v>
      </c>
      <c r="AB13" s="219"/>
      <c r="AC13" s="219">
        <f>J28</f>
        <v>15</v>
      </c>
      <c r="AD13" s="219"/>
      <c r="AE13" s="219">
        <f>F17+F19+F24</f>
        <v>37</v>
      </c>
      <c r="AG13" s="219">
        <f>F14+F23</f>
        <v>28</v>
      </c>
    </row>
    <row r="14" spans="1:38" ht="21.75" customHeight="1">
      <c r="B14" s="411"/>
      <c r="C14" s="411"/>
      <c r="D14" s="30"/>
      <c r="E14" s="26"/>
      <c r="F14" s="144">
        <v>12</v>
      </c>
      <c r="G14" s="26"/>
      <c r="H14" s="26"/>
      <c r="I14" s="28">
        <f>IF(F14="","",IF(U14=0,"("&amp;F14&amp;")",F14))</f>
        <v>12</v>
      </c>
      <c r="J14" s="26"/>
      <c r="K14" s="27">
        <f t="shared" si="1"/>
        <v>12</v>
      </c>
      <c r="L14" s="29">
        <f t="shared" si="0"/>
        <v>75</v>
      </c>
      <c r="N14" s="392" t="str">
        <f>IF(W20&gt;3,"You have selected too many subtests for calculation of a Perceptual Reasoning Scale",IF(W20&lt;3,"You have selected too few subtests for calculation of a Perceptual Reasoning Scale",""))</f>
        <v/>
      </c>
      <c r="O14" s="392"/>
      <c r="P14" s="392"/>
      <c r="Q14" s="392"/>
      <c r="R14" s="392"/>
      <c r="S14" s="220" t="s">
        <v>164</v>
      </c>
      <c r="T14" s="215" t="b">
        <v>1</v>
      </c>
      <c r="U14" s="218">
        <f t="shared" si="2"/>
        <v>1</v>
      </c>
      <c r="V14" s="218" t="s">
        <v>161</v>
      </c>
    </row>
    <row r="15" spans="1:38" ht="21.75" customHeight="1">
      <c r="B15" s="411"/>
      <c r="C15" s="411"/>
      <c r="D15" s="30"/>
      <c r="E15" s="26"/>
      <c r="F15" s="144">
        <v>16</v>
      </c>
      <c r="G15" s="26"/>
      <c r="H15" s="28">
        <f>IF(F15="","",IF(U15=0,"("&amp;F15&amp;")",F15))</f>
        <v>16</v>
      </c>
      <c r="I15" s="27"/>
      <c r="J15" s="26"/>
      <c r="K15" s="27">
        <f t="shared" si="1"/>
        <v>16</v>
      </c>
      <c r="L15" s="29">
        <f t="shared" si="0"/>
        <v>98</v>
      </c>
      <c r="N15" s="392"/>
      <c r="O15" s="392"/>
      <c r="P15" s="392"/>
      <c r="Q15" s="392"/>
      <c r="R15" s="392"/>
      <c r="S15" s="220" t="s">
        <v>110</v>
      </c>
      <c r="T15" s="215" t="b">
        <v>1</v>
      </c>
      <c r="U15" s="218">
        <f t="shared" si="2"/>
        <v>1</v>
      </c>
      <c r="V15" s="218" t="s">
        <v>160</v>
      </c>
      <c r="Y15" s="218" t="s">
        <v>2</v>
      </c>
      <c r="AB15" s="218" t="s">
        <v>2</v>
      </c>
    </row>
    <row r="16" spans="1:38" ht="21.75" customHeight="1">
      <c r="B16" s="411"/>
      <c r="C16" s="411"/>
      <c r="D16" s="30"/>
      <c r="E16" s="26"/>
      <c r="F16" s="144">
        <v>11</v>
      </c>
      <c r="G16" s="28">
        <f>IF(F16="","",IF(U16=0,"("&amp;F16&amp;")",F16))</f>
        <v>11</v>
      </c>
      <c r="H16" s="27"/>
      <c r="I16" s="27"/>
      <c r="J16" s="26"/>
      <c r="K16" s="27">
        <f t="shared" si="1"/>
        <v>11</v>
      </c>
      <c r="L16" s="29">
        <f t="shared" si="0"/>
        <v>63</v>
      </c>
      <c r="N16" s="391" t="str">
        <f>IF(W22&lt;2,"You have too few subtest scores for calculation of a Working Memory Scale",IF(W22&gt;2,"You have too many subtest scores for calculation of a Working Memory Scale",""))</f>
        <v/>
      </c>
      <c r="O16" s="391"/>
      <c r="P16" s="391"/>
      <c r="Q16" s="391"/>
      <c r="R16" s="391"/>
      <c r="S16" s="220" t="s">
        <v>295</v>
      </c>
      <c r="T16" s="215" t="b">
        <v>1</v>
      </c>
      <c r="U16" s="218">
        <f t="shared" si="2"/>
        <v>1</v>
      </c>
      <c r="V16" s="218" t="s">
        <v>108</v>
      </c>
      <c r="AL16" s="221"/>
    </row>
    <row r="17" spans="2:38" ht="21.75" customHeight="1">
      <c r="B17" s="411"/>
      <c r="C17" s="411"/>
      <c r="D17" s="32"/>
      <c r="E17" s="26"/>
      <c r="F17" s="144">
        <v>16</v>
      </c>
      <c r="G17" s="26"/>
      <c r="H17" s="27"/>
      <c r="I17" s="28">
        <f>IF(F17="","",IF(U17=0,"("&amp;F17&amp;")",F17))</f>
        <v>16</v>
      </c>
      <c r="J17" s="26"/>
      <c r="K17" s="27">
        <f t="shared" si="1"/>
        <v>16</v>
      </c>
      <c r="L17" s="29">
        <f t="shared" si="0"/>
        <v>98</v>
      </c>
      <c r="N17" s="391"/>
      <c r="O17" s="391"/>
      <c r="P17" s="391"/>
      <c r="Q17" s="391"/>
      <c r="R17" s="391"/>
      <c r="S17" s="220" t="s">
        <v>296</v>
      </c>
      <c r="T17" s="215" t="b">
        <v>1</v>
      </c>
      <c r="U17" s="218">
        <f t="shared" si="2"/>
        <v>1</v>
      </c>
      <c r="V17" s="218" t="s">
        <v>106</v>
      </c>
      <c r="Z17" s="187" t="s">
        <v>170</v>
      </c>
      <c r="AA17" s="218">
        <f>IF(U13+U16+U20=3,1,0)</f>
        <v>1</v>
      </c>
      <c r="AC17" s="187" t="s">
        <v>302</v>
      </c>
      <c r="AE17" s="218">
        <f>IF(U12+U19+U15=3,1,0)</f>
        <v>1</v>
      </c>
    </row>
    <row r="18" spans="2:38" ht="21.75" customHeight="1">
      <c r="B18" s="411"/>
      <c r="C18" s="411"/>
      <c r="D18" s="32"/>
      <c r="E18" s="26"/>
      <c r="F18" s="144">
        <v>10</v>
      </c>
      <c r="G18" s="26"/>
      <c r="H18" s="27"/>
      <c r="I18" s="26"/>
      <c r="J18" s="28">
        <f>IF(F18="","",IF(U18=0,"("&amp;F18&amp;")",F18))</f>
        <v>10</v>
      </c>
      <c r="K18" s="27">
        <f t="shared" si="1"/>
        <v>10</v>
      </c>
      <c r="L18" s="29">
        <f t="shared" si="0"/>
        <v>50</v>
      </c>
      <c r="N18" s="391" t="str">
        <f>IF(W19&lt;2,"You have too few subtest scores for calculation of a Processing Speed Scale",IF(W19&gt;2,"You have too many subtest scores for calculation of a Processing Speed Scale",""))</f>
        <v/>
      </c>
      <c r="O18" s="391"/>
      <c r="P18" s="391"/>
      <c r="Q18" s="391"/>
      <c r="R18" s="391"/>
      <c r="S18" s="220" t="s">
        <v>32</v>
      </c>
      <c r="T18" s="215" t="b">
        <v>1</v>
      </c>
      <c r="U18" s="218">
        <f t="shared" si="2"/>
        <v>1</v>
      </c>
      <c r="V18" s="218" t="s">
        <v>161</v>
      </c>
      <c r="Z18" s="187" t="s">
        <v>300</v>
      </c>
      <c r="AA18" s="218">
        <f>IF(U20+U16+U24=3,2,0)</f>
        <v>0</v>
      </c>
      <c r="AC18" s="187" t="s">
        <v>303</v>
      </c>
      <c r="AE18" s="218">
        <f>IF(U23+U15+U19=3,2,0)</f>
        <v>0</v>
      </c>
    </row>
    <row r="19" spans="2:38" ht="21.75" customHeight="1">
      <c r="B19" s="411"/>
      <c r="C19" s="411"/>
      <c r="D19" s="32"/>
      <c r="E19" s="26"/>
      <c r="F19" s="144">
        <v>9</v>
      </c>
      <c r="G19" s="26"/>
      <c r="H19" s="28">
        <f>IF(F19="","",IF(U19=0,"("&amp;F19&amp;")",F19))</f>
        <v>9</v>
      </c>
      <c r="I19" s="26"/>
      <c r="J19" s="26"/>
      <c r="K19" s="27">
        <f t="shared" si="1"/>
        <v>9</v>
      </c>
      <c r="L19" s="29">
        <f t="shared" si="0"/>
        <v>37</v>
      </c>
      <c r="N19" s="391"/>
      <c r="O19" s="391"/>
      <c r="P19" s="391"/>
      <c r="Q19" s="391"/>
      <c r="R19" s="391"/>
      <c r="S19" s="220" t="s">
        <v>297</v>
      </c>
      <c r="T19" s="215" t="b">
        <v>1</v>
      </c>
      <c r="U19" s="218">
        <f t="shared" si="2"/>
        <v>1</v>
      </c>
      <c r="V19" s="218" t="s">
        <v>160</v>
      </c>
      <c r="W19" s="218">
        <f>U18+U21+U25</f>
        <v>2</v>
      </c>
      <c r="X19" s="218" t="s">
        <v>101</v>
      </c>
      <c r="Z19" s="187" t="s">
        <v>301</v>
      </c>
      <c r="AA19" s="218">
        <f>IF(U13+U24+U20=3,3,0)</f>
        <v>0</v>
      </c>
      <c r="AC19" s="187" t="s">
        <v>304</v>
      </c>
      <c r="AE19" s="218">
        <f>IF(U12+U19+U23=3,3,0)</f>
        <v>0</v>
      </c>
    </row>
    <row r="20" spans="2:38" ht="21.75" customHeight="1">
      <c r="B20" s="411"/>
      <c r="C20" s="411"/>
      <c r="D20" s="32"/>
      <c r="E20" s="26"/>
      <c r="F20" s="144">
        <v>12</v>
      </c>
      <c r="G20" s="28">
        <f>IF(F20="","",IF(U20=0,"("&amp;F20&amp;")",F20))</f>
        <v>12</v>
      </c>
      <c r="H20" s="26"/>
      <c r="I20" s="27"/>
      <c r="J20" s="26"/>
      <c r="K20" s="27">
        <f t="shared" si="1"/>
        <v>12</v>
      </c>
      <c r="L20" s="29">
        <f t="shared" si="0"/>
        <v>75</v>
      </c>
      <c r="N20" s="151"/>
      <c r="O20" s="151"/>
      <c r="P20" s="151"/>
      <c r="Q20" s="151"/>
      <c r="R20" s="151"/>
      <c r="S20" s="220" t="s">
        <v>298</v>
      </c>
      <c r="T20" s="215" t="b">
        <v>1</v>
      </c>
      <c r="U20" s="218">
        <f t="shared" si="2"/>
        <v>1</v>
      </c>
      <c r="V20" s="218" t="s">
        <v>106</v>
      </c>
      <c r="W20" s="218">
        <f>U12+U15+U19+U23+U26</f>
        <v>3</v>
      </c>
      <c r="X20" s="218" t="s">
        <v>149</v>
      </c>
      <c r="Z20" s="187" t="s">
        <v>169</v>
      </c>
      <c r="AA20" s="218">
        <f>IF(U13+U24+U16=3,4,0)</f>
        <v>0</v>
      </c>
      <c r="AC20" s="187" t="s">
        <v>305</v>
      </c>
      <c r="AE20" s="218">
        <f>IF(U12+U23+U15=3,4,0)</f>
        <v>0</v>
      </c>
    </row>
    <row r="21" spans="2:38" ht="21.75" customHeight="1" thickBot="1">
      <c r="B21" s="411"/>
      <c r="C21" s="411"/>
      <c r="D21" s="34"/>
      <c r="E21" s="26"/>
      <c r="F21" s="144">
        <v>5</v>
      </c>
      <c r="G21" s="26"/>
      <c r="H21" s="26"/>
      <c r="I21" s="27"/>
      <c r="J21" s="28">
        <f>IF(F21="","",IF(U21=0,"("&amp;F21&amp;")",F21))</f>
        <v>5</v>
      </c>
      <c r="K21" s="27">
        <f t="shared" ref="K21:K26" si="3">IF(U21=0,"",IF(F21="","",F21))</f>
        <v>5</v>
      </c>
      <c r="L21" s="29">
        <f t="shared" si="0"/>
        <v>5</v>
      </c>
      <c r="N21" s="391" t="str">
        <f>IF(W23&gt;10,"You have selected too many subtests for inclusion in a Full Scale IQ",IF(W23&lt;10,"You have selected too few subtests for calculation of a Full Scale IQ",""))</f>
        <v/>
      </c>
      <c r="O21" s="391"/>
      <c r="P21" s="391"/>
      <c r="Q21" s="391"/>
      <c r="R21" s="391"/>
      <c r="S21" s="220" t="s">
        <v>111</v>
      </c>
      <c r="T21" s="215" t="b">
        <v>1</v>
      </c>
      <c r="U21" s="218">
        <f t="shared" si="2"/>
        <v>1</v>
      </c>
      <c r="V21" s="218" t="s">
        <v>108</v>
      </c>
      <c r="W21" s="218">
        <f>U13+U16+U20+U24</f>
        <v>3</v>
      </c>
      <c r="X21" s="218" t="s">
        <v>116</v>
      </c>
      <c r="Z21" s="187"/>
      <c r="AC21" s="187" t="s">
        <v>306</v>
      </c>
      <c r="AE21" s="218">
        <f>IF(U15+U26+U19=3,5,0)</f>
        <v>0</v>
      </c>
      <c r="AL21" s="221"/>
    </row>
    <row r="22" spans="2:38" ht="21.75" customHeight="1">
      <c r="B22" s="411"/>
      <c r="C22" s="411"/>
      <c r="D22" s="35"/>
      <c r="E22" s="26"/>
      <c r="F22" s="144">
        <v>11</v>
      </c>
      <c r="G22" s="26"/>
      <c r="H22" s="26"/>
      <c r="I22" s="28" t="str">
        <f>IF(F22="","",IF(U22=0,"("&amp;F22&amp;")",F22))</f>
        <v>(11)</v>
      </c>
      <c r="J22" s="27"/>
      <c r="K22" s="27" t="str">
        <f t="shared" si="3"/>
        <v/>
      </c>
      <c r="L22" s="29">
        <f t="shared" si="0"/>
        <v>63</v>
      </c>
      <c r="N22" s="391"/>
      <c r="O22" s="391"/>
      <c r="P22" s="391"/>
      <c r="Q22" s="391"/>
      <c r="R22" s="391"/>
      <c r="S22" s="220" t="s">
        <v>171</v>
      </c>
      <c r="T22" s="215" t="b">
        <v>0</v>
      </c>
      <c r="U22" s="218">
        <f t="shared" si="2"/>
        <v>0</v>
      </c>
      <c r="V22" s="218" t="s">
        <v>160</v>
      </c>
      <c r="W22" s="218">
        <f>U14+U17+U22</f>
        <v>2</v>
      </c>
      <c r="X22" s="218" t="s">
        <v>162</v>
      </c>
      <c r="Z22" s="187"/>
      <c r="AC22" s="187" t="s">
        <v>307</v>
      </c>
      <c r="AE22" s="218">
        <f>IF(U12+U26+U19=3,6,0)</f>
        <v>0</v>
      </c>
    </row>
    <row r="23" spans="2:38" ht="21.75" customHeight="1">
      <c r="B23" s="411"/>
      <c r="C23" s="411"/>
      <c r="D23" s="36"/>
      <c r="E23" s="26"/>
      <c r="F23" s="144">
        <v>16</v>
      </c>
      <c r="G23" s="27"/>
      <c r="H23" s="28" t="str">
        <f>IF(F23="","",IF(U23=0,"("&amp;F23&amp;")",F23))</f>
        <v>(16)</v>
      </c>
      <c r="I23" s="27"/>
      <c r="J23" s="26"/>
      <c r="K23" s="27" t="str">
        <f t="shared" si="3"/>
        <v/>
      </c>
      <c r="L23" s="29">
        <f t="shared" si="0"/>
        <v>98</v>
      </c>
      <c r="N23" s="391" t="str">
        <f>IF(AND(W21=3,AA24&gt;0),"The VCI is based upon the following subtests:                                      "&amp;CHOOSE(AA24,Z17,Z18,Z19,Z20),IF(AA24=0,"The combination of VCI subtests chosen cannot be used to compute an IQ.",""))</f>
        <v>The VCI is based upon the following subtests:                                      S V I</v>
      </c>
      <c r="O23" s="391"/>
      <c r="P23" s="391"/>
      <c r="Q23" s="391"/>
      <c r="R23" s="391"/>
      <c r="S23" s="220" t="s">
        <v>299</v>
      </c>
      <c r="T23" s="215" t="b">
        <v>0</v>
      </c>
      <c r="U23" s="218">
        <f>IF(T23=TRUE,1,0)</f>
        <v>0</v>
      </c>
      <c r="V23" s="218" t="s">
        <v>108</v>
      </c>
      <c r="W23" s="218">
        <f>SUM(U12:U26)</f>
        <v>10</v>
      </c>
      <c r="X23" s="218" t="s">
        <v>115</v>
      </c>
      <c r="Z23" s="187"/>
      <c r="AC23" s="187" t="s">
        <v>308</v>
      </c>
      <c r="AE23" s="218">
        <f>IF(U12+U26+U15=3,7,0)</f>
        <v>0</v>
      </c>
    </row>
    <row r="24" spans="2:38" ht="21.75" customHeight="1">
      <c r="B24" s="411"/>
      <c r="C24" s="411"/>
      <c r="D24" s="37"/>
      <c r="E24" s="26"/>
      <c r="F24" s="144">
        <v>12</v>
      </c>
      <c r="G24" s="28" t="str">
        <f>IF(F24="","",IF(U24=0,"("&amp;F24&amp;")",F24))</f>
        <v>(12)</v>
      </c>
      <c r="H24" s="26"/>
      <c r="I24" s="26"/>
      <c r="J24" s="26"/>
      <c r="K24" s="27" t="str">
        <f t="shared" si="3"/>
        <v/>
      </c>
      <c r="L24" s="29">
        <f t="shared" si="0"/>
        <v>75</v>
      </c>
      <c r="N24" s="391"/>
      <c r="O24" s="391"/>
      <c r="P24" s="391"/>
      <c r="Q24" s="391"/>
      <c r="R24" s="391"/>
      <c r="S24" s="220" t="s">
        <v>172</v>
      </c>
      <c r="T24" s="215" t="b">
        <v>0</v>
      </c>
      <c r="U24" s="218">
        <f t="shared" si="2"/>
        <v>0</v>
      </c>
      <c r="V24" s="218" t="s">
        <v>106</v>
      </c>
      <c r="Z24" s="218" t="s">
        <v>138</v>
      </c>
      <c r="AA24" s="218">
        <f>SUM(AA17:AA20)</f>
        <v>1</v>
      </c>
      <c r="AD24" s="218" t="s">
        <v>139</v>
      </c>
      <c r="AE24" s="218">
        <f>SUM(AE17:AE23)</f>
        <v>1</v>
      </c>
      <c r="AF24" s="218" t="s">
        <v>140</v>
      </c>
      <c r="AG24" s="218">
        <f>IF(U19=1,1,IF(U17=1,2,0))</f>
        <v>1</v>
      </c>
    </row>
    <row r="25" spans="2:38" ht="21.75" customHeight="1">
      <c r="B25" s="411"/>
      <c r="C25" s="411"/>
      <c r="D25" s="37"/>
      <c r="E25" s="26"/>
      <c r="F25" s="144">
        <v>7</v>
      </c>
      <c r="G25" s="26"/>
      <c r="H25" s="26"/>
      <c r="I25" s="26"/>
      <c r="J25" s="28" t="str">
        <f>IF(F25="","",IF(U25=0,"("&amp;F25&amp;")",F25))</f>
        <v>(7)</v>
      </c>
      <c r="K25" s="27" t="str">
        <f t="shared" si="3"/>
        <v/>
      </c>
      <c r="L25" s="29">
        <f t="shared" si="0"/>
        <v>16</v>
      </c>
      <c r="N25" s="391" t="str">
        <f>IF(AND(W20=3,AE24&gt;0),"The PRI is based upon the following subtests:                      "&amp;CHOOSE(AE24,AC17,AC18,AC19,AC20,AC21,AC22,AC23),IF(AE24=0,"The combination of PRI subtests chosen cannot be used to compute an IQ.",""))</f>
        <v>The PRI is based upon the following subtests:                      BD MR VP</v>
      </c>
      <c r="O25" s="391"/>
      <c r="P25" s="391"/>
      <c r="Q25" s="391"/>
      <c r="R25" s="391"/>
      <c r="S25" s="220" t="s">
        <v>163</v>
      </c>
      <c r="T25" s="215" t="b">
        <v>0</v>
      </c>
      <c r="U25" s="218">
        <f t="shared" si="2"/>
        <v>0</v>
      </c>
      <c r="V25" s="218" t="s">
        <v>161</v>
      </c>
      <c r="AL25" s="221"/>
    </row>
    <row r="26" spans="2:38" ht="21.75" customHeight="1">
      <c r="B26" s="411"/>
      <c r="C26" s="411"/>
      <c r="D26" s="36"/>
      <c r="E26" s="26"/>
      <c r="F26" s="144">
        <v>10</v>
      </c>
      <c r="G26" s="26"/>
      <c r="H26" s="28" t="str">
        <f>IF(F26="","",IF(U26=0,"("&amp;F26&amp;")",F26))</f>
        <v>(10)</v>
      </c>
      <c r="I26" s="27"/>
      <c r="J26" s="27"/>
      <c r="K26" s="27" t="str">
        <f t="shared" si="3"/>
        <v/>
      </c>
      <c r="L26" s="29">
        <f t="shared" si="0"/>
        <v>50</v>
      </c>
      <c r="N26" s="391"/>
      <c r="O26" s="391"/>
      <c r="P26" s="391"/>
      <c r="Q26" s="391"/>
      <c r="R26" s="391"/>
      <c r="S26" s="220" t="s">
        <v>137</v>
      </c>
      <c r="T26" s="215" t="b">
        <v>0</v>
      </c>
      <c r="U26" s="218">
        <f t="shared" si="2"/>
        <v>0</v>
      </c>
      <c r="V26" s="218" t="s">
        <v>106</v>
      </c>
    </row>
    <row r="27" spans="2:38" ht="3.75" customHeight="1">
      <c r="B27" s="24"/>
      <c r="C27" s="24"/>
      <c r="D27" s="38"/>
      <c r="E27" s="38"/>
      <c r="F27" s="38"/>
      <c r="G27" s="38"/>
      <c r="H27" s="38"/>
      <c r="I27" s="38"/>
      <c r="J27" s="38"/>
      <c r="K27" s="38"/>
      <c r="L27" s="38"/>
      <c r="N27" s="31"/>
      <c r="O27" s="31"/>
      <c r="P27" s="31"/>
      <c r="Q27" s="31"/>
      <c r="R27" s="205"/>
      <c r="S27" s="220"/>
      <c r="T27" s="215"/>
    </row>
    <row r="28" spans="2:38" ht="22.5" customHeight="1">
      <c r="B28" s="39"/>
      <c r="C28" s="39"/>
      <c r="D28" s="39"/>
      <c r="E28" s="39"/>
      <c r="F28" s="154" t="s">
        <v>19</v>
      </c>
      <c r="G28" s="29">
        <f>SUM(G13:G26)</f>
        <v>39</v>
      </c>
      <c r="H28" s="29">
        <f>SUM(H12:H24)</f>
        <v>35</v>
      </c>
      <c r="I28" s="29">
        <f>SUM(I14:I25)</f>
        <v>28</v>
      </c>
      <c r="J28" s="29">
        <f>SUM(J17:J23)</f>
        <v>15</v>
      </c>
      <c r="K28" s="29">
        <f>SUM(K12:K26)</f>
        <v>117</v>
      </c>
      <c r="L28" s="39"/>
      <c r="M28" s="39"/>
      <c r="N28" s="158" t="s">
        <v>316</v>
      </c>
      <c r="O28" s="23"/>
      <c r="P28" s="23"/>
      <c r="Q28" s="23"/>
      <c r="R28" s="150"/>
      <c r="S28" s="220"/>
    </row>
    <row r="29" spans="2:38" ht="3.75" customHeight="1">
      <c r="B29" s="39"/>
      <c r="C29" s="39"/>
      <c r="D29" s="39"/>
      <c r="E29" s="39"/>
      <c r="F29" s="21"/>
      <c r="G29" s="38"/>
      <c r="H29" s="38"/>
      <c r="I29" s="38"/>
      <c r="J29" s="38"/>
      <c r="K29" s="38"/>
      <c r="L29" s="39"/>
      <c r="M29" s="39"/>
      <c r="N29" s="23"/>
      <c r="O29" s="23"/>
      <c r="P29" s="23"/>
      <c r="Q29" s="23"/>
      <c r="R29" s="150"/>
      <c r="S29" s="220"/>
    </row>
    <row r="30" spans="2:38" ht="22.5" customHeight="1">
      <c r="B30" s="414" t="s">
        <v>177</v>
      </c>
      <c r="C30" s="414"/>
      <c r="D30" s="200" t="s">
        <v>174</v>
      </c>
      <c r="E30" s="27"/>
      <c r="F30" s="144">
        <v>14</v>
      </c>
      <c r="G30" s="27"/>
      <c r="H30" s="27"/>
      <c r="I30" s="27"/>
      <c r="J30" s="27"/>
      <c r="K30" s="40"/>
      <c r="L30" s="29">
        <f>IF(F30="","",LOOKUP(F30,$D$344:$W$344,$D$345:$W$345))</f>
        <v>91</v>
      </c>
      <c r="M30" s="19"/>
      <c r="N30" s="23"/>
      <c r="O30" s="23"/>
      <c r="P30" s="23"/>
      <c r="Q30" s="23"/>
      <c r="R30" s="150"/>
      <c r="S30" s="220"/>
    </row>
    <row r="31" spans="2:38" ht="22.5" customHeight="1">
      <c r="B31" s="414"/>
      <c r="C31" s="414"/>
      <c r="D31" s="200" t="s">
        <v>175</v>
      </c>
      <c r="E31" s="27"/>
      <c r="F31" s="144">
        <v>18</v>
      </c>
      <c r="G31" s="27"/>
      <c r="H31" s="27"/>
      <c r="I31" s="27"/>
      <c r="J31" s="27"/>
      <c r="K31" s="40"/>
      <c r="L31" s="29">
        <f>IF(F31="","",LOOKUP(F31,$D$344:$W$344,$D$345:$W$345))</f>
        <v>99.599999999999</v>
      </c>
      <c r="M31" s="19"/>
      <c r="N31" s="23"/>
      <c r="O31" s="23"/>
      <c r="P31" s="23"/>
      <c r="Q31" s="23"/>
      <c r="R31" s="150"/>
      <c r="S31" s="220"/>
    </row>
    <row r="32" spans="2:38" ht="22.5" customHeight="1">
      <c r="B32" s="414"/>
      <c r="C32" s="414"/>
      <c r="D32" s="200" t="s">
        <v>176</v>
      </c>
      <c r="E32" s="27"/>
      <c r="F32" s="144">
        <v>17</v>
      </c>
      <c r="G32" s="27"/>
      <c r="H32" s="27"/>
      <c r="I32" s="27"/>
      <c r="J32" s="27"/>
      <c r="K32" s="40"/>
      <c r="L32" s="29">
        <f>IF(F32="","",LOOKUP(F32,$D$344:$W$344,$D$345:$W$345))</f>
        <v>99</v>
      </c>
      <c r="M32" s="19"/>
      <c r="N32" s="23"/>
      <c r="O32" s="23"/>
      <c r="P32" s="23"/>
      <c r="Q32" s="23"/>
      <c r="R32" s="150"/>
      <c r="S32" s="220"/>
    </row>
    <row r="33" spans="1:38" ht="22.5" customHeight="1">
      <c r="B33" s="414"/>
      <c r="C33" s="414"/>
      <c r="D33" s="200" t="s">
        <v>317</v>
      </c>
      <c r="E33" s="27"/>
      <c r="F33" s="144">
        <v>13</v>
      </c>
      <c r="G33" s="27"/>
      <c r="H33" s="27"/>
      <c r="I33" s="27"/>
      <c r="J33" s="27"/>
      <c r="K33" s="40"/>
      <c r="L33" s="29">
        <f>IF(F33="","",LOOKUP(F33,$D$344:$W$344,$D$345:$W$345))</f>
        <v>84</v>
      </c>
      <c r="M33" s="19"/>
      <c r="N33" s="23"/>
      <c r="O33" s="23"/>
      <c r="P33" s="23"/>
      <c r="Q33" s="23"/>
      <c r="R33" s="150"/>
      <c r="S33" s="220"/>
    </row>
    <row r="34" spans="1:38" ht="22.5" customHeight="1">
      <c r="B34" s="414"/>
      <c r="C34" s="414"/>
      <c r="D34" s="395" t="s">
        <v>180</v>
      </c>
      <c r="E34" s="395"/>
      <c r="F34" s="395"/>
      <c r="G34" s="144">
        <v>9</v>
      </c>
      <c r="H34" s="27"/>
      <c r="I34" s="27"/>
      <c r="J34" s="27"/>
      <c r="K34" s="40"/>
      <c r="L34" s="38"/>
      <c r="M34" s="19"/>
      <c r="N34" s="23"/>
      <c r="O34" s="23"/>
      <c r="P34" s="23"/>
      <c r="Q34" s="23"/>
      <c r="R34" s="150"/>
      <c r="S34" s="220"/>
    </row>
    <row r="35" spans="1:38" ht="21.75" customHeight="1">
      <c r="B35" s="414"/>
      <c r="C35" s="414"/>
      <c r="D35" s="395" t="s">
        <v>181</v>
      </c>
      <c r="E35" s="395"/>
      <c r="F35" s="395"/>
      <c r="G35" s="144">
        <v>8</v>
      </c>
      <c r="H35" s="27"/>
      <c r="I35" s="27"/>
      <c r="J35" s="27"/>
      <c r="K35" s="40"/>
      <c r="L35" s="41"/>
      <c r="M35" s="19"/>
      <c r="N35" s="23"/>
      <c r="O35" s="23"/>
      <c r="P35" s="23"/>
      <c r="Q35" s="23"/>
      <c r="R35" s="150"/>
      <c r="S35" s="220"/>
    </row>
    <row r="36" spans="1:38" ht="21.75" customHeight="1">
      <c r="B36" s="414"/>
      <c r="C36" s="414"/>
      <c r="D36" s="395" t="s">
        <v>318</v>
      </c>
      <c r="E36" s="395"/>
      <c r="F36" s="395"/>
      <c r="G36" s="144">
        <v>7</v>
      </c>
      <c r="H36" s="27"/>
      <c r="I36" s="27"/>
      <c r="J36" s="27"/>
      <c r="K36" s="40"/>
      <c r="L36" s="41"/>
      <c r="M36" s="19"/>
      <c r="N36" s="23"/>
      <c r="O36" s="23"/>
      <c r="P36" s="23"/>
      <c r="Q36" s="23"/>
      <c r="R36" s="150"/>
      <c r="S36" s="220"/>
    </row>
    <row r="37" spans="1:38" ht="17.100000000000001" customHeight="1">
      <c r="B37" s="414"/>
      <c r="C37" s="414"/>
      <c r="D37" s="395" t="s">
        <v>319</v>
      </c>
      <c r="E37" s="395"/>
      <c r="F37" s="395"/>
      <c r="G37" s="144">
        <v>8</v>
      </c>
      <c r="H37" s="27"/>
      <c r="I37" s="27"/>
      <c r="J37" s="27"/>
      <c r="K37" s="40"/>
      <c r="M37" s="19"/>
      <c r="N37" s="19"/>
      <c r="O37" s="19"/>
      <c r="P37" s="19"/>
      <c r="Q37" s="19"/>
      <c r="R37" s="150"/>
      <c r="S37" s="220"/>
      <c r="U37" s="219" t="s">
        <v>108</v>
      </c>
      <c r="V37" s="218">
        <f>IF(F13="","",1)</f>
        <v>1</v>
      </c>
      <c r="W37" s="218">
        <f>IF(F13="","",F13)</f>
        <v>16</v>
      </c>
      <c r="X37" s="219" t="s">
        <v>109</v>
      </c>
      <c r="Y37" s="218">
        <f>IF(F12="","",1)</f>
        <v>1</v>
      </c>
      <c r="Z37" s="218">
        <f>IF(F12="","",F12)</f>
        <v>10</v>
      </c>
      <c r="AA37" s="219" t="s">
        <v>111</v>
      </c>
      <c r="AB37" s="218">
        <f>IF(F21="","",1)</f>
        <v>1</v>
      </c>
      <c r="AC37" s="218">
        <f>IF(F21="","",F21)</f>
        <v>5</v>
      </c>
      <c r="AD37" s="222" t="s">
        <v>164</v>
      </c>
      <c r="AE37" s="218">
        <f>IF(F14="","",1)</f>
        <v>1</v>
      </c>
      <c r="AF37" s="223">
        <f>IF(F14="","",F14)</f>
        <v>12</v>
      </c>
      <c r="AG37" s="223"/>
      <c r="AH37" s="223"/>
    </row>
    <row r="38" spans="1:38" ht="30.75" customHeight="1">
      <c r="A38" s="396" t="s">
        <v>346</v>
      </c>
      <c r="B38" s="396"/>
      <c r="C38" s="396"/>
      <c r="D38" s="396"/>
      <c r="E38" s="396"/>
      <c r="F38" s="396"/>
      <c r="G38" s="396"/>
      <c r="H38" s="396"/>
      <c r="I38" s="396"/>
      <c r="J38" s="396"/>
      <c r="K38" s="396"/>
      <c r="L38" s="396"/>
      <c r="M38" s="396"/>
      <c r="N38" s="396"/>
      <c r="O38" s="396"/>
      <c r="P38" s="396"/>
      <c r="Q38" s="396"/>
      <c r="R38" s="396"/>
      <c r="U38" s="219" t="s">
        <v>106</v>
      </c>
      <c r="V38" s="218">
        <f>IF(F16="","",1)</f>
        <v>1</v>
      </c>
      <c r="W38" s="218">
        <f>IF(F16="","",F16)</f>
        <v>11</v>
      </c>
      <c r="X38" s="219" t="s">
        <v>110</v>
      </c>
      <c r="Y38" s="218">
        <f>IF(F15="","",1)</f>
        <v>1</v>
      </c>
      <c r="Z38" s="218">
        <f>IF(F15="","",F15)</f>
        <v>16</v>
      </c>
      <c r="AA38" s="219" t="s">
        <v>2</v>
      </c>
      <c r="AB38" s="218">
        <f>IF(F18="","",1)</f>
        <v>1</v>
      </c>
      <c r="AC38" s="218">
        <f>IF(F18="","",F18)</f>
        <v>10</v>
      </c>
      <c r="AD38" s="222" t="s">
        <v>296</v>
      </c>
      <c r="AE38" s="218">
        <f>IF(F17="","",1)</f>
        <v>1</v>
      </c>
      <c r="AF38" s="223">
        <f>IF(F17="","",F17)</f>
        <v>16</v>
      </c>
      <c r="AG38" s="223"/>
      <c r="AH38" s="223"/>
    </row>
    <row r="39" spans="1:38" ht="13.5" customHeight="1">
      <c r="B39" s="380" t="s">
        <v>433</v>
      </c>
      <c r="C39" s="380"/>
      <c r="D39" s="380"/>
      <c r="E39" s="380"/>
      <c r="F39" s="380"/>
      <c r="G39" s="380"/>
      <c r="H39" s="380"/>
      <c r="I39" s="380"/>
      <c r="J39" s="380"/>
      <c r="K39" s="380"/>
      <c r="L39" s="380"/>
      <c r="M39" s="380"/>
      <c r="N39" s="380"/>
      <c r="O39" s="380"/>
      <c r="P39" s="380"/>
      <c r="Q39" s="380"/>
      <c r="R39" s="150"/>
      <c r="S39" s="220"/>
      <c r="U39" s="219" t="s">
        <v>105</v>
      </c>
      <c r="V39" s="218">
        <f>IF(F20="","",1)</f>
        <v>1</v>
      </c>
      <c r="W39" s="218">
        <f>IF(F20="","",F20)</f>
        <v>12</v>
      </c>
      <c r="X39" s="219" t="s">
        <v>59</v>
      </c>
      <c r="Y39" s="218">
        <f>IF(F19="","",1)</f>
        <v>1</v>
      </c>
      <c r="Z39" s="218">
        <f>IF(F19="","",F19)</f>
        <v>9</v>
      </c>
      <c r="AA39" s="219" t="s">
        <v>163</v>
      </c>
      <c r="AB39" s="218">
        <f>IF(F25="","",1)</f>
        <v>1</v>
      </c>
      <c r="AC39" s="218">
        <f>IF(F25="","",F25)</f>
        <v>7</v>
      </c>
      <c r="AD39" s="224" t="s">
        <v>171</v>
      </c>
      <c r="AE39" s="218">
        <f>IF(F22="","",1)</f>
        <v>1</v>
      </c>
      <c r="AF39" s="223">
        <f>IF(F22="","",F22)</f>
        <v>11</v>
      </c>
      <c r="AG39" s="223"/>
      <c r="AH39" s="223"/>
    </row>
    <row r="40" spans="1:38" ht="13.5" customHeight="1">
      <c r="R40" s="150"/>
      <c r="S40" s="220"/>
      <c r="U40" s="219"/>
      <c r="X40" s="219" t="s">
        <v>299</v>
      </c>
      <c r="Y40" s="218">
        <f>IF(F23="","",1)</f>
        <v>1</v>
      </c>
      <c r="Z40" s="218">
        <f>IF(F23="","",F23)</f>
        <v>16</v>
      </c>
      <c r="AA40" s="219"/>
      <c r="AD40" s="224"/>
      <c r="AF40" s="223"/>
      <c r="AG40" s="223"/>
      <c r="AH40" s="223"/>
    </row>
    <row r="41" spans="1:38" ht="13.5" customHeight="1">
      <c r="R41" s="150"/>
      <c r="S41" s="220"/>
      <c r="U41" s="219"/>
      <c r="X41" s="219"/>
      <c r="AA41" s="219"/>
      <c r="AB41" s="218">
        <f>SUM(AB37:AB38)</f>
        <v>2</v>
      </c>
      <c r="AD41" s="224"/>
      <c r="AE41" s="218">
        <f>SUM(AE37:AE38)</f>
        <v>2</v>
      </c>
      <c r="AF41" s="223"/>
      <c r="AG41" s="223"/>
      <c r="AH41" s="223"/>
    </row>
    <row r="42" spans="1:38" ht="13.5" customHeight="1">
      <c r="R42" s="150"/>
      <c r="S42" s="220"/>
      <c r="U42" s="219"/>
      <c r="X42" s="219"/>
      <c r="AA42" s="219"/>
      <c r="AD42" s="224"/>
      <c r="AF42" s="223"/>
      <c r="AG42" s="223"/>
      <c r="AH42" s="223"/>
    </row>
    <row r="43" spans="1:38" ht="12">
      <c r="C43" s="11" t="s">
        <v>0</v>
      </c>
      <c r="D43" s="42"/>
      <c r="E43" s="11"/>
      <c r="F43" s="11"/>
      <c r="G43" s="11"/>
      <c r="H43" s="19" t="s">
        <v>20</v>
      </c>
      <c r="I43" s="204"/>
      <c r="J43" s="19" t="s">
        <v>21</v>
      </c>
      <c r="K43" s="11"/>
      <c r="L43" s="19" t="s">
        <v>22</v>
      </c>
      <c r="M43" s="11"/>
      <c r="N43" s="399" t="s">
        <v>328</v>
      </c>
      <c r="O43" s="399"/>
      <c r="P43" s="399"/>
      <c r="Q43" s="399"/>
      <c r="R43" s="150"/>
      <c r="S43" s="220"/>
      <c r="U43" s="219" t="s">
        <v>107</v>
      </c>
      <c r="V43" s="218">
        <f>IF(F24="","",1)</f>
        <v>1</v>
      </c>
      <c r="W43" s="218">
        <f>IF(F24="","",F24)</f>
        <v>12</v>
      </c>
      <c r="X43" s="219" t="s">
        <v>137</v>
      </c>
      <c r="Y43" s="218">
        <f>IF(F26="","",1)</f>
        <v>1</v>
      </c>
      <c r="Z43" s="218">
        <f>IF(F26="","",F26)</f>
        <v>10</v>
      </c>
      <c r="AB43" s="218">
        <f>SUM(AB37:AB39)</f>
        <v>3</v>
      </c>
      <c r="AC43" s="219">
        <f>SUM(AC37:AC39)</f>
        <v>22</v>
      </c>
      <c r="AE43" s="218">
        <f>SUM(AE37:AE39)</f>
        <v>3</v>
      </c>
      <c r="AF43" s="223">
        <f>SUM(AF37:AF39)</f>
        <v>39</v>
      </c>
      <c r="AG43" s="223"/>
      <c r="AH43" s="223"/>
    </row>
    <row r="44" spans="1:38" ht="12">
      <c r="C44" s="11"/>
      <c r="E44" s="11"/>
      <c r="F44" s="19" t="s">
        <v>23</v>
      </c>
      <c r="G44" s="11"/>
      <c r="H44" s="19" t="s">
        <v>24</v>
      </c>
      <c r="I44" s="11"/>
      <c r="J44" s="11" t="s">
        <v>25</v>
      </c>
      <c r="K44" s="11"/>
      <c r="L44" s="11" t="s">
        <v>26</v>
      </c>
      <c r="M44" s="11"/>
      <c r="N44" s="399"/>
      <c r="O44" s="399"/>
      <c r="P44" s="399"/>
      <c r="Q44" s="399"/>
      <c r="R44" s="150"/>
      <c r="S44" s="220"/>
      <c r="U44" s="219"/>
      <c r="X44" s="219"/>
      <c r="AD44" s="223"/>
      <c r="AE44" s="223"/>
      <c r="AF44" s="223"/>
      <c r="AG44" s="223"/>
      <c r="AH44" s="223"/>
    </row>
    <row r="45" spans="1:38" ht="9" customHeight="1">
      <c r="C45" s="11"/>
      <c r="E45" s="11"/>
      <c r="F45" s="11"/>
      <c r="G45" s="11"/>
      <c r="H45" s="11"/>
      <c r="I45" s="11"/>
      <c r="J45" s="11"/>
      <c r="K45" s="11"/>
      <c r="L45" s="11"/>
      <c r="M45" s="11"/>
      <c r="N45" s="11"/>
      <c r="O45" s="11"/>
      <c r="P45" s="11"/>
      <c r="Q45" s="19"/>
      <c r="R45" s="150"/>
      <c r="S45" s="220"/>
      <c r="T45" s="215">
        <v>1</v>
      </c>
      <c r="U45" s="219"/>
      <c r="W45" s="218">
        <f>SUM(W37:W44)</f>
        <v>51</v>
      </c>
      <c r="X45" s="219"/>
      <c r="Z45" s="218">
        <f>SUM(Z37:Z44)</f>
        <v>61</v>
      </c>
    </row>
    <row r="46" spans="1:38" ht="14.25" customHeight="1">
      <c r="D46" s="21" t="s">
        <v>152</v>
      </c>
      <c r="E46" s="42"/>
      <c r="F46" s="22" t="str">
        <f>IF(W21=3,"("&amp;W13&amp;")","")</f>
        <v>(39)</v>
      </c>
      <c r="G46" s="43"/>
      <c r="H46" s="284">
        <v>116</v>
      </c>
      <c r="I46" s="43"/>
      <c r="J46" s="22">
        <f>IF(H46="","",LOOKUP(H46,B338:BG339))</f>
        <v>86</v>
      </c>
      <c r="K46" s="43"/>
      <c r="L46" s="22" t="str">
        <f>IF(H46="","",X46&amp;" - "&amp;Y46)</f>
        <v>111 - 120</v>
      </c>
      <c r="M46" s="11"/>
      <c r="N46" s="204" t="str">
        <f>IF(H46="","",LOOKUP((LOOKUP(H46,D414:O415)+H46),$D$412:$J$413)&amp;" to "&amp;LOOKUP((LOOKUP(H46,D414:O414,D416:O416)+H46),$D$412:$J$413))</f>
        <v>Average to Superior</v>
      </c>
      <c r="O46" s="204"/>
      <c r="R46" s="149"/>
      <c r="S46" s="220"/>
      <c r="T46" s="218">
        <v>0.96</v>
      </c>
      <c r="U46" s="218">
        <f>100+T46*(H46-100)</f>
        <v>115.36</v>
      </c>
      <c r="V46" s="218">
        <f>15*T46*SQRT((1-T46))</f>
        <v>2.8800000000000012</v>
      </c>
      <c r="W46" s="218">
        <f>IF(T45=1,V46*1.65,V46*1.96)</f>
        <v>4.7520000000000016</v>
      </c>
      <c r="X46" s="218">
        <f>ROUND(U46-W46,0)</f>
        <v>111</v>
      </c>
      <c r="Y46" s="218">
        <f>ROUND(U46+W46,0)</f>
        <v>120</v>
      </c>
      <c r="Z46" s="219"/>
      <c r="AC46" s="219"/>
      <c r="AD46" s="218">
        <f>SUM(Y37:Y44)</f>
        <v>5</v>
      </c>
    </row>
    <row r="47" spans="1:38" ht="14.25" customHeight="1">
      <c r="D47" s="21" t="s">
        <v>151</v>
      </c>
      <c r="E47" s="42"/>
      <c r="F47" s="22" t="str">
        <f>IF(W20=3,"("&amp;Y13&amp;")","")</f>
        <v>(35)</v>
      </c>
      <c r="G47" s="43"/>
      <c r="H47" s="284">
        <v>109</v>
      </c>
      <c r="I47" s="43"/>
      <c r="J47" s="22">
        <f>IF(H47="","",LOOKUP(H47,B338:BG339))</f>
        <v>73</v>
      </c>
      <c r="K47" s="43"/>
      <c r="L47" s="22" t="str">
        <f>IF(H47="","",X47&amp;" - "&amp;Y47)</f>
        <v>103 - 114</v>
      </c>
      <c r="M47" s="11"/>
      <c r="N47" s="204" t="str">
        <f>IF(H47="","",LOOKUP((LOOKUP(H47,D414:O415)+H47),$D$412:$J$413)&amp;" to "&amp;LOOKUP((LOOKUP(H47,D414:O414,D416:O416)+H47),$D$412:$J$413))</f>
        <v>Average to High Average</v>
      </c>
      <c r="O47" s="204"/>
      <c r="R47" s="149"/>
      <c r="S47" s="220"/>
      <c r="T47" s="218">
        <v>0.95</v>
      </c>
      <c r="U47" s="218">
        <f>100+T47*(H47-100)</f>
        <v>108.55</v>
      </c>
      <c r="V47" s="218">
        <f>15*T47*SQRT((1-T47))</f>
        <v>3.1863968679372019</v>
      </c>
      <c r="W47" s="218">
        <f>IF(T45=1,V47*1.65,V47*1.96)</f>
        <v>5.2575548320963827</v>
      </c>
      <c r="X47" s="218">
        <f>ROUND(U47-W47,0)</f>
        <v>103</v>
      </c>
      <c r="Y47" s="218">
        <f>ROUND(U47+W47,0)</f>
        <v>114</v>
      </c>
      <c r="AA47" s="218">
        <f>SUM(V37:V44)</f>
        <v>4</v>
      </c>
      <c r="AB47" s="218">
        <f>SUM(V37:V45)</f>
        <v>4</v>
      </c>
      <c r="AD47" s="218">
        <f>SUM(Y37:Y44)</f>
        <v>5</v>
      </c>
      <c r="AI47" s="218">
        <f>AB47+AD47+AB43+AE43</f>
        <v>15</v>
      </c>
    </row>
    <row r="48" spans="1:38" ht="14.25" customHeight="1">
      <c r="D48" s="21" t="s">
        <v>153</v>
      </c>
      <c r="E48" s="42"/>
      <c r="F48" s="22" t="str">
        <f>IF(AB43&lt;2,"","("&amp;AA13&amp;")")</f>
        <v>(28)</v>
      </c>
      <c r="G48" s="22"/>
      <c r="H48" s="284">
        <v>122</v>
      </c>
      <c r="I48" s="22"/>
      <c r="J48" s="22">
        <f>IF(H48="","",LOOKUP(H48,B338:BG339))</f>
        <v>93</v>
      </c>
      <c r="K48" s="21"/>
      <c r="L48" s="22" t="str">
        <f>IF(H48="","",X48&amp;" - "&amp;Y48)</f>
        <v>115 - 126</v>
      </c>
      <c r="M48" s="43"/>
      <c r="N48" s="204" t="str">
        <f>IF(H48="","",LOOKUP((LOOKUP(H48,D414:O415)+H48),$D$412:$J$413)&amp;" to "&amp;LOOKUP((LOOKUP(H48,D414:O414,D416:O416)+H48),$D$412:$J$413))</f>
        <v>High Average to Superior</v>
      </c>
      <c r="O48" s="21"/>
      <c r="R48" s="149"/>
      <c r="S48" s="220"/>
      <c r="T48" s="218">
        <v>0.94</v>
      </c>
      <c r="U48" s="218">
        <f>100+T48*(H48-100)</f>
        <v>120.68</v>
      </c>
      <c r="V48" s="218">
        <f>15*T48*SQRT((1-T48))</f>
        <v>3.4537805373242825</v>
      </c>
      <c r="W48" s="218">
        <f>IF(T45=1,V48*1.65,V48*1.96)</f>
        <v>5.6987378865850662</v>
      </c>
      <c r="X48" s="218">
        <f>ROUND(U48-W48,0)</f>
        <v>115</v>
      </c>
      <c r="Y48" s="218">
        <f>ROUND(U48+W48,0)</f>
        <v>126</v>
      </c>
      <c r="Z48" s="222" t="s">
        <v>34</v>
      </c>
      <c r="AA48" s="222">
        <f>W45/AA47</f>
        <v>12.75</v>
      </c>
      <c r="AB48" s="218">
        <f>W45/AB47</f>
        <v>12.75</v>
      </c>
      <c r="AC48" s="218">
        <f>SUM(W37:W44)</f>
        <v>51</v>
      </c>
      <c r="AD48" s="222" t="s">
        <v>35</v>
      </c>
      <c r="AE48" s="222">
        <f>Z45/AD47</f>
        <v>12.2</v>
      </c>
      <c r="AG48" s="218">
        <f>SUM(W45+Z45+AC43+AF43)</f>
        <v>173</v>
      </c>
      <c r="AH48" s="222" t="s">
        <v>36</v>
      </c>
      <c r="AI48" s="225">
        <f>AG48/AI47</f>
        <v>11.533333333333333</v>
      </c>
      <c r="AK48" s="218" t="s">
        <v>37</v>
      </c>
      <c r="AL48" s="218">
        <f>ABS(H46-H47)</f>
        <v>7</v>
      </c>
    </row>
    <row r="49" spans="2:38" ht="14.25" customHeight="1">
      <c r="D49" s="21" t="s">
        <v>28</v>
      </c>
      <c r="E49" s="42"/>
      <c r="F49" s="22" t="str">
        <f>IF(AE43&lt;2,"","("&amp;AC13&amp;")")</f>
        <v>(15)</v>
      </c>
      <c r="G49" s="22"/>
      <c r="H49" s="284">
        <v>86</v>
      </c>
      <c r="I49" s="22"/>
      <c r="J49" s="22">
        <f>IF(H49="","",LOOKUP(H49,B338:BG339))</f>
        <v>18</v>
      </c>
      <c r="K49" s="21"/>
      <c r="L49" s="22" t="str">
        <f>IF(H49="","",X49&amp;" - "&amp;Y49)</f>
        <v>80 - 94</v>
      </c>
      <c r="M49" s="43"/>
      <c r="N49" s="204" t="str">
        <f>IF(H49="","",LOOKUP((LOOKUP(H49,D414:O415)+H49),$D$412:$J$413)&amp;" to "&amp;LOOKUP((LOOKUP(H49,D414:O414,D416:O416)+H49),$D$412:$J$413))</f>
        <v>Low Average to Average</v>
      </c>
      <c r="O49" s="21"/>
      <c r="R49" s="149"/>
      <c r="S49" s="220"/>
      <c r="T49" s="218">
        <v>0.9</v>
      </c>
      <c r="U49" s="218">
        <f>100+T49*(H49-100)</f>
        <v>87.4</v>
      </c>
      <c r="V49" s="218">
        <f>15*T49*SQRT((1-T49))</f>
        <v>4.2690748412273116</v>
      </c>
      <c r="W49" s="218">
        <f>IF(T45=1,V49*1.65,V49*1.96)</f>
        <v>7.0439734880250642</v>
      </c>
      <c r="X49" s="218">
        <f>ROUND(U49-W49,0)</f>
        <v>80</v>
      </c>
      <c r="Y49" s="218">
        <f>ROUND(U49+W49,0)</f>
        <v>94</v>
      </c>
      <c r="Z49" s="222" t="s">
        <v>38</v>
      </c>
      <c r="AA49" s="218">
        <f>MAX(W37:W44)</f>
        <v>16</v>
      </c>
      <c r="AC49" s="222" t="s">
        <v>39</v>
      </c>
      <c r="AD49" s="218">
        <f>MAX(Z37:Z44)</f>
        <v>16</v>
      </c>
      <c r="AE49" s="218">
        <f>IF(AA49=AD49,AA49,IF(AA49&gt;AD49,AA49,AD49))</f>
        <v>16</v>
      </c>
      <c r="AL49" s="218">
        <f>LOOKUP(AL48,D357:AR357,D366:AR366)</f>
        <v>54</v>
      </c>
    </row>
    <row r="50" spans="2:38" ht="14.25" customHeight="1">
      <c r="D50" s="21" t="s">
        <v>27</v>
      </c>
      <c r="E50" s="42"/>
      <c r="F50" s="22" t="str">
        <f>IF(W23=10,"("&amp;Z13&amp;")","")</f>
        <v>(117)</v>
      </c>
      <c r="G50" s="43"/>
      <c r="H50" s="284">
        <v>111</v>
      </c>
      <c r="I50" s="43"/>
      <c r="J50" s="22">
        <f>IF(H50="","",LOOKUP(H50,B338:BG339))</f>
        <v>77</v>
      </c>
      <c r="K50" s="43"/>
      <c r="L50" s="22" t="str">
        <f>IF(H50="","",X50&amp;" - "&amp;Y50)</f>
        <v>107 - 114</v>
      </c>
      <c r="M50" s="11"/>
      <c r="N50" s="204" t="str">
        <f>IF(H50="","",LOOKUP((LOOKUP(H50,D414:O415)+H50),$D$412:$J$413)&amp;" to "&amp;LOOKUP((LOOKUP(H50,D414:O414,D416:O416)+H50),$D$412:$J$413))</f>
        <v>Average to High Average</v>
      </c>
      <c r="O50" s="204"/>
      <c r="R50" s="149"/>
      <c r="S50" s="220"/>
      <c r="T50" s="218">
        <v>0.98</v>
      </c>
      <c r="U50" s="218">
        <f>100+T50*(H50-100)</f>
        <v>110.78</v>
      </c>
      <c r="V50" s="218">
        <f>15*T50*SQRT((1-T50))</f>
        <v>2.0788939366884502</v>
      </c>
      <c r="W50" s="218">
        <f>IF(T45=1,V50*1.65,V50*1.96)</f>
        <v>3.4301749955359426</v>
      </c>
      <c r="X50" s="218">
        <f>ROUND(U50-W50,0)</f>
        <v>107</v>
      </c>
      <c r="Y50" s="218">
        <f>ROUND(U50+W50,0)</f>
        <v>114</v>
      </c>
      <c r="Z50" s="222" t="s">
        <v>40</v>
      </c>
      <c r="AA50" s="218">
        <f>MIN(W37:W44)</f>
        <v>11</v>
      </c>
      <c r="AC50" s="218" t="s">
        <v>41</v>
      </c>
      <c r="AD50" s="218">
        <f>MIN(Z37:Z44)</f>
        <v>9</v>
      </c>
      <c r="AE50" s="218">
        <f>IF(AA50=AD50,AA50,IF(AA50&lt;AD50,AA50,AD50))</f>
        <v>9</v>
      </c>
      <c r="AF50" s="218">
        <f>AE49-AE50</f>
        <v>7</v>
      </c>
    </row>
    <row r="51" spans="2:38" ht="9" customHeight="1">
      <c r="C51" s="11"/>
      <c r="P51" s="204"/>
      <c r="Q51" s="11"/>
      <c r="R51" s="149"/>
      <c r="S51" s="220"/>
      <c r="Z51" s="222" t="s">
        <v>42</v>
      </c>
      <c r="AA51" s="218">
        <f>ABS(AA49-AA50)</f>
        <v>5</v>
      </c>
      <c r="AC51" s="218" t="s">
        <v>42</v>
      </c>
      <c r="AD51" s="218">
        <f>ABS(AD49-AD50)</f>
        <v>7</v>
      </c>
      <c r="AF51" s="218" t="s">
        <v>43</v>
      </c>
      <c r="AG51" s="218">
        <f>AF50</f>
        <v>7</v>
      </c>
    </row>
    <row r="52" spans="2:38" ht="9" customHeight="1">
      <c r="C52" s="11"/>
      <c r="O52" s="19"/>
      <c r="P52" s="19"/>
      <c r="Q52" s="19"/>
      <c r="R52" s="150"/>
      <c r="S52" s="220"/>
      <c r="Z52" s="222" t="s">
        <v>44</v>
      </c>
      <c r="AA52" s="218" t="str">
        <f>IF(AA47&lt;6,"",IF(AA47=6, LOOKUP(AA51,D357:V357,D358:V358),LOOKUP(AA51,D357:V357,D359:V359)))</f>
        <v/>
      </c>
      <c r="AC52" s="218" t="s">
        <v>45</v>
      </c>
      <c r="AD52" s="218">
        <f>IF(AD47&lt;4,"",LOOKUP(AD51,D357:V357,D360:V360))</f>
        <v>23</v>
      </c>
      <c r="AF52" s="218" t="s">
        <v>46</v>
      </c>
      <c r="AG52" s="218">
        <f ca="1">LOOKUP(AG51,D357:V357,D362:W362)</f>
        <v>50.9</v>
      </c>
      <c r="AI52" s="218">
        <f ca="1">IF(AI47=14,AE54,IF(AI47=11,AG52,AG53))</f>
        <v>58</v>
      </c>
    </row>
    <row r="53" spans="2:38" ht="14.1" customHeight="1">
      <c r="B53" s="380" t="s">
        <v>434</v>
      </c>
      <c r="C53" s="380"/>
      <c r="D53" s="380"/>
      <c r="E53" s="380"/>
      <c r="F53" s="380"/>
      <c r="G53" s="380"/>
      <c r="H53" s="380"/>
      <c r="I53" s="380"/>
      <c r="J53" s="380"/>
      <c r="K53" s="380"/>
      <c r="L53" s="380"/>
      <c r="M53" s="380"/>
      <c r="N53" s="380"/>
      <c r="O53" s="380"/>
      <c r="P53" s="380"/>
      <c r="Q53" s="380"/>
      <c r="R53" s="150"/>
      <c r="S53" s="220"/>
      <c r="Z53" s="219"/>
      <c r="AF53" s="218" t="s">
        <v>47</v>
      </c>
      <c r="AG53" s="218">
        <f ca="1">LOOKUP(AG51,D357:V357,D363:W363)</f>
        <v>58</v>
      </c>
    </row>
    <row r="54" spans="2:38" ht="9" customHeight="1">
      <c r="C54" s="11"/>
      <c r="D54" s="44"/>
      <c r="E54" s="19"/>
      <c r="F54" s="19"/>
      <c r="G54" s="19"/>
      <c r="H54" s="19"/>
      <c r="I54" s="19"/>
      <c r="J54" s="19"/>
      <c r="K54" s="19"/>
      <c r="L54" s="19"/>
      <c r="M54" s="19"/>
      <c r="N54" s="19"/>
      <c r="O54" s="19"/>
      <c r="P54" s="19"/>
      <c r="Q54" s="19"/>
      <c r="R54" s="150"/>
      <c r="S54" s="220"/>
      <c r="AD54" s="218" t="s">
        <v>49</v>
      </c>
      <c r="AE54" s="218">
        <f ca="1">LOOKUP(AG51,D357:V357,D364:W364)</f>
        <v>63.8</v>
      </c>
    </row>
    <row r="55" spans="2:38" ht="14.1" customHeight="1">
      <c r="C55" s="42"/>
      <c r="D55" s="42"/>
      <c r="E55" s="42"/>
      <c r="F55" s="389" t="s">
        <v>121</v>
      </c>
      <c r="G55" s="383"/>
      <c r="H55" s="383"/>
      <c r="I55" s="383"/>
      <c r="J55" s="383"/>
      <c r="K55" s="384"/>
      <c r="L55" s="398" t="s">
        <v>122</v>
      </c>
      <c r="M55" s="390"/>
      <c r="N55" s="390"/>
      <c r="O55" s="390"/>
      <c r="P55" s="390"/>
      <c r="Y55" s="218">
        <f>IF(H46=H47,0,IF(H46&gt;H47,1,2))</f>
        <v>1</v>
      </c>
    </row>
    <row r="56" spans="2:38" ht="14.1" customHeight="1">
      <c r="C56" s="201"/>
      <c r="D56" s="201" t="str">
        <f>"VCI ("&amp;H46&amp;") vs PRI ("&amp;H47&amp;") Difference"</f>
        <v>VCI (116) vs PRI (109) Difference</v>
      </c>
      <c r="E56" s="201"/>
      <c r="F56" s="397" t="s">
        <v>123</v>
      </c>
      <c r="G56" s="393"/>
      <c r="H56" s="393" t="s">
        <v>124</v>
      </c>
      <c r="I56" s="393"/>
      <c r="J56" s="393" t="s">
        <v>125</v>
      </c>
      <c r="K56" s="394"/>
      <c r="L56" s="398"/>
      <c r="M56" s="390"/>
      <c r="N56" s="390"/>
      <c r="O56" s="390"/>
      <c r="P56" s="390"/>
      <c r="T56" s="218">
        <f>ABS(H46-H47)</f>
        <v>7</v>
      </c>
      <c r="U56" s="218" t="str">
        <f>IF(T56=1," point"," points")</f>
        <v xml:space="preserve"> points</v>
      </c>
      <c r="Y56" s="218">
        <f>IF(ABS(H46-H47)&gt;8,1,-1)</f>
        <v>-1</v>
      </c>
    </row>
    <row r="57" spans="2:38" ht="14.1" customHeight="1">
      <c r="C57" s="201"/>
      <c r="D57" s="201" t="str">
        <f>IF(OR(H46="",H47=""),"",T56&amp;U56)</f>
        <v>7 points</v>
      </c>
      <c r="F57" s="401" t="s">
        <v>310</v>
      </c>
      <c r="G57" s="375"/>
      <c r="H57" s="374">
        <v>9</v>
      </c>
      <c r="I57" s="374"/>
      <c r="J57" s="374" t="s">
        <v>309</v>
      </c>
      <c r="K57" s="402"/>
      <c r="L57" s="403" t="str">
        <f>IF(OR(H46="",H47=""),"",IF(T56&gt;11, "YES, p = .01", IF(T56&lt;9, "NO","YES, p = .05")))</f>
        <v>NO</v>
      </c>
      <c r="M57" s="349"/>
      <c r="N57" s="349"/>
      <c r="O57" s="349"/>
      <c r="P57" s="349"/>
      <c r="T57" s="218">
        <f>IF(L57="NO",0,1)</f>
        <v>0</v>
      </c>
      <c r="V57" s="218" t="s">
        <v>154</v>
      </c>
      <c r="Y57" s="218">
        <f>SUM(Y55+Y56)</f>
        <v>0</v>
      </c>
    </row>
    <row r="58" spans="2:38" ht="14.1" customHeight="1" thickBot="1">
      <c r="D58" s="44"/>
      <c r="S58" s="220"/>
      <c r="V58" s="218" t="s">
        <v>155</v>
      </c>
    </row>
    <row r="59" spans="2:38" ht="4.5" customHeight="1">
      <c r="D59" s="45"/>
      <c r="E59" s="46"/>
      <c r="F59" s="46"/>
      <c r="G59" s="46"/>
      <c r="H59" s="46"/>
      <c r="I59" s="46"/>
      <c r="J59" s="46"/>
      <c r="K59" s="46"/>
      <c r="L59" s="46"/>
      <c r="M59" s="46"/>
      <c r="N59" s="46"/>
      <c r="O59" s="46"/>
      <c r="P59" s="47"/>
      <c r="S59" s="220"/>
    </row>
    <row r="60" spans="2:38" ht="14.1" customHeight="1">
      <c r="D60" s="346" t="str">
        <f>IF(L57="","",IF(T57=0,V57,V58))</f>
        <v>Because there is no significant differences between the VCI and PRI, explain the meaning of the scales not being significantly different.</v>
      </c>
      <c r="E60" s="370"/>
      <c r="F60" s="370"/>
      <c r="G60" s="370"/>
      <c r="H60" s="370"/>
      <c r="I60" s="370"/>
      <c r="J60" s="370"/>
      <c r="K60" s="370"/>
      <c r="L60" s="370"/>
      <c r="M60" s="370"/>
      <c r="N60" s="370"/>
      <c r="O60" s="370"/>
      <c r="P60" s="371"/>
      <c r="S60" s="220"/>
    </row>
    <row r="61" spans="2:38" ht="14.1" customHeight="1">
      <c r="D61" s="346"/>
      <c r="E61" s="370"/>
      <c r="F61" s="370"/>
      <c r="G61" s="370"/>
      <c r="H61" s="370"/>
      <c r="I61" s="370"/>
      <c r="J61" s="370"/>
      <c r="K61" s="370"/>
      <c r="L61" s="370"/>
      <c r="M61" s="370"/>
      <c r="N61" s="370"/>
      <c r="O61" s="370"/>
      <c r="P61" s="371"/>
      <c r="S61" s="220"/>
    </row>
    <row r="62" spans="2:38" ht="4.5" customHeight="1" thickBot="1">
      <c r="D62" s="48"/>
      <c r="E62" s="49"/>
      <c r="F62" s="49"/>
      <c r="G62" s="49"/>
      <c r="H62" s="49"/>
      <c r="I62" s="49"/>
      <c r="J62" s="49"/>
      <c r="K62" s="49"/>
      <c r="L62" s="49"/>
      <c r="M62" s="49"/>
      <c r="N62" s="49"/>
      <c r="O62" s="49"/>
      <c r="P62" s="50"/>
      <c r="S62" s="220"/>
    </row>
    <row r="63" spans="2:38" ht="9" customHeight="1">
      <c r="D63" s="51"/>
      <c r="E63" s="51"/>
      <c r="F63" s="51"/>
      <c r="G63" s="51"/>
      <c r="H63" s="51"/>
      <c r="I63" s="51"/>
      <c r="J63" s="51"/>
      <c r="K63" s="51"/>
      <c r="L63" s="51"/>
      <c r="M63" s="51"/>
      <c r="N63" s="51"/>
      <c r="O63" s="51"/>
      <c r="P63" s="52"/>
      <c r="S63" s="220"/>
    </row>
    <row r="64" spans="2:38" ht="14.1" customHeight="1">
      <c r="B64" s="380" t="s">
        <v>435</v>
      </c>
      <c r="C64" s="380"/>
      <c r="D64" s="380"/>
      <c r="E64" s="380"/>
      <c r="F64" s="380"/>
      <c r="G64" s="380"/>
      <c r="H64" s="380"/>
      <c r="I64" s="380"/>
      <c r="J64" s="380"/>
      <c r="K64" s="380"/>
      <c r="L64" s="380"/>
      <c r="M64" s="380"/>
      <c r="N64" s="380"/>
      <c r="O64" s="380"/>
      <c r="P64" s="380"/>
      <c r="Q64" s="380"/>
      <c r="S64" s="220"/>
      <c r="T64" s="226"/>
      <c r="U64" s="226"/>
    </row>
    <row r="65" spans="2:27" ht="4.5" customHeight="1">
      <c r="B65" s="42"/>
      <c r="C65" s="42"/>
      <c r="D65" s="42"/>
      <c r="E65" s="42"/>
      <c r="F65" s="42"/>
      <c r="G65" s="42"/>
      <c r="H65" s="42"/>
      <c r="I65" s="42"/>
      <c r="J65" s="42"/>
      <c r="K65" s="42"/>
      <c r="L65" s="42"/>
      <c r="M65" s="42"/>
      <c r="N65" s="42"/>
      <c r="O65" s="42"/>
      <c r="P65" s="52"/>
      <c r="S65" s="220"/>
      <c r="T65" s="226"/>
      <c r="U65" s="226"/>
      <c r="W65" s="218">
        <v>1</v>
      </c>
      <c r="X65" s="218">
        <v>2</v>
      </c>
      <c r="Y65" s="218">
        <v>3</v>
      </c>
      <c r="Z65" s="218">
        <v>4</v>
      </c>
      <c r="AA65" s="218">
        <v>5</v>
      </c>
    </row>
    <row r="66" spans="2:27" ht="14.1" customHeight="1">
      <c r="B66" s="42"/>
      <c r="C66" s="372" t="str">
        <f>"VCI ("&amp;H46&amp;") vs PRI ("&amp;H47&amp;") Difference"</f>
        <v>VCI (116) vs PRI (109) Difference</v>
      </c>
      <c r="D66" s="372"/>
      <c r="E66" s="42"/>
      <c r="F66" s="42" t="s">
        <v>126</v>
      </c>
      <c r="G66" s="42"/>
      <c r="H66" s="42"/>
      <c r="I66" s="42"/>
      <c r="J66" s="42"/>
      <c r="K66" s="42"/>
      <c r="L66" s="372" t="s">
        <v>141</v>
      </c>
      <c r="M66" s="372"/>
      <c r="N66" s="372"/>
      <c r="O66" s="372"/>
      <c r="P66" s="372"/>
      <c r="S66" s="220"/>
      <c r="T66" s="226">
        <f>IF(H46=H47,0,IF(H46&gt;H47,1,2))</f>
        <v>1</v>
      </c>
      <c r="U66" s="226">
        <f>IF(H50&gt;119,5,IF(H50&gt;109,4,IF(H50&gt;89,3,IF(H50&gt;79,2,1))))</f>
        <v>4</v>
      </c>
      <c r="V66" s="218">
        <v>1</v>
      </c>
      <c r="W66" s="218">
        <v>17</v>
      </c>
      <c r="X66" s="218">
        <v>16</v>
      </c>
      <c r="Y66" s="218">
        <v>16</v>
      </c>
      <c r="Z66" s="218">
        <v>18</v>
      </c>
      <c r="AA66" s="218">
        <v>20</v>
      </c>
    </row>
    <row r="67" spans="2:27" ht="14.1" customHeight="1">
      <c r="B67" s="42"/>
      <c r="C67" s="372" t="str">
        <f>D57&amp;" ("&amp;T67&amp;")"</f>
        <v>7 points (V &gt; P)</v>
      </c>
      <c r="D67" s="372"/>
      <c r="E67" s="42"/>
      <c r="F67" s="412">
        <f>INDEX(W66:AA67,T66,U66)</f>
        <v>18</v>
      </c>
      <c r="G67" s="412"/>
      <c r="H67" s="412"/>
      <c r="I67" s="412"/>
      <c r="J67" s="412"/>
      <c r="K67" s="412"/>
      <c r="L67" s="413" t="str">
        <f>IF(D57="","",IF(T56&lt;F67,"NO","YES"))</f>
        <v>NO</v>
      </c>
      <c r="M67" s="413"/>
      <c r="N67" s="413"/>
      <c r="O67" s="413"/>
      <c r="P67" s="413"/>
      <c r="S67" s="220"/>
      <c r="T67" s="227" t="str">
        <f>IF(H46=H47,"V = P",IF(H46&gt;H47,"V &gt; P","V &lt; P"))</f>
        <v>V &gt; P</v>
      </c>
      <c r="U67" s="226" t="s">
        <v>135</v>
      </c>
      <c r="V67" s="218">
        <v>2</v>
      </c>
      <c r="W67" s="218">
        <v>13</v>
      </c>
      <c r="X67" s="218">
        <v>15</v>
      </c>
      <c r="Y67" s="218">
        <v>18</v>
      </c>
      <c r="Z67" s="218">
        <v>19</v>
      </c>
      <c r="AA67" s="218">
        <v>20</v>
      </c>
    </row>
    <row r="68" spans="2:27" ht="4.5" customHeight="1" thickBot="1">
      <c r="D68" s="51"/>
      <c r="E68" s="51"/>
      <c r="F68" s="51"/>
      <c r="G68" s="51"/>
      <c r="H68" s="51"/>
      <c r="I68" s="51"/>
      <c r="J68" s="51"/>
      <c r="K68" s="51"/>
      <c r="L68" s="51"/>
      <c r="M68" s="51"/>
      <c r="N68" s="51"/>
      <c r="O68" s="51"/>
      <c r="P68" s="52"/>
      <c r="S68" s="220"/>
      <c r="T68" s="226"/>
      <c r="U68" s="226"/>
    </row>
    <row r="69" spans="2:27" ht="4.5" customHeight="1">
      <c r="D69" s="45"/>
      <c r="E69" s="46"/>
      <c r="F69" s="46"/>
      <c r="G69" s="46"/>
      <c r="H69" s="46"/>
      <c r="I69" s="46"/>
      <c r="J69" s="46"/>
      <c r="K69" s="46"/>
      <c r="L69" s="46"/>
      <c r="M69" s="46"/>
      <c r="N69" s="46"/>
      <c r="O69" s="46"/>
      <c r="P69" s="47"/>
      <c r="S69" s="220"/>
      <c r="T69" s="226">
        <f>IF(L67="NO",0,1)</f>
        <v>0</v>
      </c>
      <c r="U69" s="226"/>
      <c r="V69" s="218" t="s">
        <v>143</v>
      </c>
    </row>
    <row r="70" spans="2:27" ht="14.1" customHeight="1">
      <c r="D70" s="346" t="str">
        <f>IF(L67="","",IF(T69=0,V69,V70))</f>
        <v>Because no abnormal differences are found, determine if the noted differences are interpretable.</v>
      </c>
      <c r="E70" s="370"/>
      <c r="F70" s="370"/>
      <c r="G70" s="370"/>
      <c r="H70" s="370"/>
      <c r="I70" s="370"/>
      <c r="J70" s="370"/>
      <c r="K70" s="370"/>
      <c r="L70" s="370"/>
      <c r="M70" s="370"/>
      <c r="N70" s="370"/>
      <c r="O70" s="370"/>
      <c r="P70" s="371"/>
      <c r="S70" s="220"/>
      <c r="T70" s="226"/>
      <c r="U70" s="226"/>
      <c r="V70" s="218" t="s">
        <v>182</v>
      </c>
    </row>
    <row r="71" spans="2:27" ht="14.1" customHeight="1">
      <c r="D71" s="346"/>
      <c r="E71" s="370"/>
      <c r="F71" s="370"/>
      <c r="G71" s="370"/>
      <c r="H71" s="370"/>
      <c r="I71" s="370"/>
      <c r="J71" s="370"/>
      <c r="K71" s="370"/>
      <c r="L71" s="370"/>
      <c r="M71" s="370"/>
      <c r="N71" s="370"/>
      <c r="O71" s="370"/>
      <c r="P71" s="371"/>
      <c r="S71" s="220"/>
    </row>
    <row r="72" spans="2:27" ht="5.25" customHeight="1" thickBot="1">
      <c r="D72" s="53"/>
      <c r="E72" s="54"/>
      <c r="F72" s="54"/>
      <c r="G72" s="54"/>
      <c r="H72" s="54"/>
      <c r="I72" s="54"/>
      <c r="J72" s="54"/>
      <c r="K72" s="54"/>
      <c r="L72" s="54"/>
      <c r="M72" s="54"/>
      <c r="N72" s="54"/>
      <c r="O72" s="54"/>
      <c r="P72" s="50"/>
      <c r="S72" s="220"/>
    </row>
    <row r="73" spans="2:27" ht="8.25" customHeight="1">
      <c r="D73" s="51"/>
      <c r="E73" s="51"/>
      <c r="F73" s="51"/>
      <c r="G73" s="51"/>
      <c r="H73" s="51"/>
      <c r="I73" s="51"/>
      <c r="J73" s="51"/>
      <c r="K73" s="51"/>
      <c r="L73" s="51"/>
      <c r="M73" s="51"/>
      <c r="N73" s="51"/>
      <c r="O73" s="51"/>
      <c r="P73" s="52"/>
      <c r="S73" s="220"/>
    </row>
    <row r="74" spans="2:27" ht="14.1" customHeight="1">
      <c r="B74" s="380" t="s">
        <v>436</v>
      </c>
      <c r="C74" s="380"/>
      <c r="D74" s="380"/>
      <c r="E74" s="380"/>
      <c r="F74" s="380"/>
      <c r="G74" s="380"/>
      <c r="H74" s="380"/>
      <c r="I74" s="380"/>
      <c r="J74" s="380"/>
      <c r="K74" s="380"/>
      <c r="L74" s="380"/>
      <c r="M74" s="380"/>
      <c r="N74" s="380"/>
      <c r="O74" s="380"/>
      <c r="P74" s="380"/>
      <c r="Q74" s="380"/>
      <c r="S74" s="220"/>
    </row>
    <row r="75" spans="2:27" ht="4.5" customHeight="1">
      <c r="D75" s="44"/>
      <c r="S75" s="220"/>
    </row>
    <row r="76" spans="2:27" ht="14.1" customHeight="1">
      <c r="D76" s="55" t="s">
        <v>178</v>
      </c>
      <c r="E76" s="42"/>
      <c r="F76" s="42"/>
      <c r="G76" s="42"/>
      <c r="H76" s="42"/>
      <c r="I76" s="52"/>
      <c r="J76" s="52"/>
      <c r="K76" s="52"/>
      <c r="L76" s="52"/>
      <c r="M76" s="390" t="s">
        <v>127</v>
      </c>
      <c r="N76" s="390"/>
      <c r="O76" s="390"/>
      <c r="P76" s="390"/>
      <c r="S76" s="220"/>
    </row>
    <row r="77" spans="2:27" ht="14.1" customHeight="1">
      <c r="D77" s="372" t="s">
        <v>128</v>
      </c>
      <c r="E77" s="372"/>
      <c r="F77" s="372"/>
      <c r="G77" s="372"/>
      <c r="H77" s="372"/>
      <c r="I77" s="389" t="s">
        <v>130</v>
      </c>
      <c r="J77" s="383"/>
      <c r="K77" s="383" t="s">
        <v>129</v>
      </c>
      <c r="L77" s="384"/>
      <c r="M77" s="390"/>
      <c r="N77" s="390"/>
      <c r="O77" s="390"/>
      <c r="P77" s="390"/>
      <c r="S77" s="220"/>
    </row>
    <row r="78" spans="2:27" ht="14.1" customHeight="1">
      <c r="D78" s="393" t="str">
        <f>AA51&amp;U78&amp;" between "&amp;AA47&amp;" subtests"</f>
        <v>5 points between 4 subtests</v>
      </c>
      <c r="E78" s="393"/>
      <c r="F78" s="393"/>
      <c r="G78" s="393"/>
      <c r="H78" s="393"/>
      <c r="I78" s="373" t="s">
        <v>132</v>
      </c>
      <c r="J78" s="374"/>
      <c r="K78" s="375" t="s">
        <v>131</v>
      </c>
      <c r="L78" s="376"/>
      <c r="M78" s="349" t="str">
        <f>IF(AA51&gt;5,"YES","NO")</f>
        <v>NO</v>
      </c>
      <c r="N78" s="349"/>
      <c r="O78" s="349"/>
      <c r="P78" s="349"/>
      <c r="S78" s="220"/>
      <c r="U78" s="218" t="str">
        <f>IF(AA51=1," point"," points")</f>
        <v xml:space="preserve"> points</v>
      </c>
    </row>
    <row r="79" spans="2:27" ht="3.75" customHeight="1">
      <c r="D79" s="201"/>
      <c r="E79" s="201"/>
      <c r="F79" s="201"/>
      <c r="G79" s="201"/>
      <c r="H79" s="56"/>
      <c r="I79" s="57"/>
      <c r="J79" s="57"/>
      <c r="K79" s="57"/>
      <c r="M79" s="207"/>
      <c r="N79" s="207"/>
      <c r="O79" s="207"/>
      <c r="P79" s="207"/>
      <c r="S79" s="220"/>
    </row>
    <row r="80" spans="2:27" ht="3" customHeight="1"/>
    <row r="81" spans="2:23" ht="14.1" customHeight="1">
      <c r="D81" s="55" t="s">
        <v>179</v>
      </c>
      <c r="E81" s="42"/>
      <c r="F81" s="42"/>
      <c r="G81" s="42"/>
      <c r="H81" s="42"/>
      <c r="K81" s="52"/>
      <c r="L81" s="52"/>
      <c r="M81" s="390" t="s">
        <v>127</v>
      </c>
      <c r="N81" s="390"/>
      <c r="O81" s="390"/>
      <c r="P81" s="390"/>
      <c r="Q81" s="42"/>
    </row>
    <row r="82" spans="2:23" ht="14.1" customHeight="1">
      <c r="D82" s="372" t="s">
        <v>235</v>
      </c>
      <c r="E82" s="372"/>
      <c r="F82" s="372"/>
      <c r="G82" s="372"/>
      <c r="H82" s="372"/>
      <c r="I82" s="389" t="s">
        <v>130</v>
      </c>
      <c r="J82" s="383"/>
      <c r="K82" s="383" t="s">
        <v>129</v>
      </c>
      <c r="L82" s="384"/>
      <c r="M82" s="390"/>
      <c r="N82" s="390"/>
      <c r="O82" s="390"/>
      <c r="P82" s="390"/>
      <c r="U82" s="218">
        <f>IF(M78="NO",0,1)</f>
        <v>0</v>
      </c>
    </row>
    <row r="83" spans="2:23" ht="14.1" customHeight="1">
      <c r="D83" s="372" t="str">
        <f>AD51&amp;U84&amp;" between "&amp;AD47&amp;" subtests"</f>
        <v>7 points between 5 subtests</v>
      </c>
      <c r="E83" s="372"/>
      <c r="F83" s="372"/>
      <c r="G83" s="372"/>
      <c r="H83" s="372"/>
      <c r="I83" s="373" t="str">
        <f>IF(AD47&lt;5,"0 - 6","0 - 7")</f>
        <v>0 - 7</v>
      </c>
      <c r="J83" s="374"/>
      <c r="K83" s="375" t="str">
        <f>IF(AD47&lt;5,"7 or more","8 or more")</f>
        <v>8 or more</v>
      </c>
      <c r="L83" s="376"/>
      <c r="M83" s="349" t="str">
        <f>IF(AND(AD47&lt;5,AD51&gt;6),"YES",IF(AND(AD47=5,AD51&gt;7),"YES","NO"))</f>
        <v>NO</v>
      </c>
      <c r="N83" s="349"/>
      <c r="O83" s="349"/>
      <c r="P83" s="349"/>
      <c r="U83" s="218">
        <f>IF(M83="NO",0,1)</f>
        <v>0</v>
      </c>
      <c r="V83" s="218">
        <f>U82+U83</f>
        <v>0</v>
      </c>
      <c r="W83" s="218" t="s">
        <v>156</v>
      </c>
    </row>
    <row r="84" spans="2:23" ht="12" customHeight="1" thickBot="1">
      <c r="U84" s="218" t="str">
        <f>IF(AD51=1," point"," points")</f>
        <v xml:space="preserve"> points</v>
      </c>
      <c r="W84" s="218" t="s">
        <v>157</v>
      </c>
    </row>
    <row r="85" spans="2:23" ht="4.5" customHeight="1">
      <c r="D85" s="58"/>
      <c r="E85" s="59"/>
      <c r="F85" s="59"/>
      <c r="G85" s="59"/>
      <c r="H85" s="59"/>
      <c r="I85" s="59"/>
      <c r="J85" s="59"/>
      <c r="K85" s="59"/>
      <c r="L85" s="59"/>
      <c r="M85" s="59"/>
      <c r="N85" s="59"/>
      <c r="O85" s="59"/>
      <c r="P85" s="60"/>
    </row>
    <row r="86" spans="2:23" ht="14.1" customHeight="1">
      <c r="D86" s="346" t="str">
        <f>IF(V83=0,W83,W84)</f>
        <v xml:space="preserve">Because each answers to A and B was NO, the VCI versus PRI discrepancy is interpretable. </v>
      </c>
      <c r="E86" s="370"/>
      <c r="F86" s="370"/>
      <c r="G86" s="370"/>
      <c r="H86" s="370"/>
      <c r="I86" s="370"/>
      <c r="J86" s="370"/>
      <c r="K86" s="370"/>
      <c r="L86" s="370"/>
      <c r="M86" s="370"/>
      <c r="N86" s="370"/>
      <c r="O86" s="370"/>
      <c r="P86" s="371"/>
    </row>
    <row r="87" spans="2:23" ht="14.1" customHeight="1">
      <c r="D87" s="346"/>
      <c r="E87" s="370"/>
      <c r="F87" s="370"/>
      <c r="G87" s="370"/>
      <c r="H87" s="370"/>
      <c r="I87" s="370"/>
      <c r="J87" s="370"/>
      <c r="K87" s="370"/>
      <c r="L87" s="370"/>
      <c r="M87" s="370"/>
      <c r="N87" s="370"/>
      <c r="O87" s="370"/>
      <c r="P87" s="371"/>
    </row>
    <row r="88" spans="2:23" ht="4.5" customHeight="1" thickBot="1">
      <c r="D88" s="61"/>
      <c r="E88" s="62"/>
      <c r="F88" s="62"/>
      <c r="G88" s="62"/>
      <c r="H88" s="62"/>
      <c r="I88" s="62"/>
      <c r="J88" s="62"/>
      <c r="K88" s="62"/>
      <c r="L88" s="62"/>
      <c r="M88" s="62"/>
      <c r="N88" s="62"/>
      <c r="O88" s="62"/>
      <c r="P88" s="63"/>
    </row>
    <row r="89" spans="2:23" ht="4.5" customHeight="1">
      <c r="D89" s="201"/>
      <c r="E89" s="201"/>
      <c r="F89" s="201"/>
      <c r="G89" s="201"/>
      <c r="H89" s="201"/>
      <c r="I89" s="203"/>
      <c r="J89" s="203"/>
      <c r="K89" s="64"/>
      <c r="L89" s="64"/>
      <c r="M89" s="207"/>
      <c r="N89" s="207"/>
      <c r="O89" s="207"/>
      <c r="P89" s="207"/>
      <c r="S89" s="220"/>
    </row>
    <row r="90" spans="2:23" ht="14.1" customHeight="1">
      <c r="B90" s="380" t="s">
        <v>437</v>
      </c>
      <c r="C90" s="380"/>
      <c r="D90" s="380"/>
      <c r="E90" s="380"/>
      <c r="F90" s="380"/>
      <c r="G90" s="380"/>
      <c r="H90" s="380"/>
      <c r="I90" s="380"/>
      <c r="J90" s="380"/>
      <c r="K90" s="380"/>
      <c r="L90" s="380"/>
      <c r="M90" s="380"/>
      <c r="N90" s="380"/>
      <c r="O90" s="380"/>
      <c r="P90" s="380"/>
      <c r="Q90" s="380"/>
      <c r="S90" s="220"/>
    </row>
    <row r="91" spans="2:23" ht="9.75" customHeight="1">
      <c r="D91" s="201"/>
      <c r="E91" s="201"/>
      <c r="F91" s="201"/>
      <c r="G91" s="201"/>
      <c r="H91" s="201"/>
      <c r="I91" s="203"/>
      <c r="J91" s="203"/>
      <c r="K91" s="64"/>
      <c r="L91" s="64"/>
      <c r="M91" s="207"/>
      <c r="N91" s="207"/>
      <c r="O91" s="207"/>
      <c r="P91" s="207"/>
      <c r="S91" s="220"/>
    </row>
    <row r="92" spans="2:23" ht="14.1" customHeight="1">
      <c r="D92" s="55" t="s">
        <v>292</v>
      </c>
      <c r="E92" s="42"/>
      <c r="F92" s="42"/>
      <c r="G92" s="42"/>
      <c r="H92" s="42"/>
      <c r="I92" s="52"/>
      <c r="J92" s="52"/>
      <c r="K92" s="52"/>
      <c r="L92" s="52"/>
      <c r="M92" s="390" t="s">
        <v>127</v>
      </c>
      <c r="N92" s="390"/>
      <c r="O92" s="390"/>
      <c r="P92" s="390"/>
    </row>
    <row r="93" spans="2:23" ht="14.1" customHeight="1">
      <c r="D93" s="372" t="str">
        <f>IF(AB32=1,"No Index Computed","WMI Subtests [ DS ("&amp;F14&amp;") AR ("&amp;F17&amp;") ] Difference ")</f>
        <v xml:space="preserve">WMI Subtests [ DS (12) AR (16) ] Difference </v>
      </c>
      <c r="E93" s="372"/>
      <c r="F93" s="372"/>
      <c r="G93" s="372"/>
      <c r="H93" s="372"/>
      <c r="I93" s="389" t="s">
        <v>130</v>
      </c>
      <c r="J93" s="383"/>
      <c r="K93" s="383" t="s">
        <v>129</v>
      </c>
      <c r="L93" s="384"/>
      <c r="M93" s="390"/>
      <c r="N93" s="390"/>
      <c r="O93" s="390"/>
      <c r="P93" s="390"/>
      <c r="U93" s="218">
        <f>ABS(AF37-AF38)</f>
        <v>4</v>
      </c>
    </row>
    <row r="94" spans="2:23" ht="14.1" customHeight="1">
      <c r="D94" s="372" t="str">
        <f>U93&amp;U95</f>
        <v>4 points</v>
      </c>
      <c r="E94" s="372"/>
      <c r="F94" s="372"/>
      <c r="G94" s="372"/>
      <c r="H94" s="372"/>
      <c r="I94" s="373" t="s">
        <v>134</v>
      </c>
      <c r="J94" s="374"/>
      <c r="K94" s="375" t="s">
        <v>133</v>
      </c>
      <c r="L94" s="376"/>
      <c r="M94" s="349" t="str">
        <f>IF(AE41&lt;&gt;2,"",IF(U93&gt;4,"YES","NO"))</f>
        <v>NO</v>
      </c>
      <c r="N94" s="349"/>
      <c r="O94" s="349"/>
      <c r="P94" s="349"/>
      <c r="U94" s="218">
        <f>IF(M94="NO",0,1)</f>
        <v>0</v>
      </c>
    </row>
    <row r="95" spans="2:23" ht="6.75" customHeight="1" thickBot="1">
      <c r="U95" s="218" t="str">
        <f>IF(U93=1," point"," points")</f>
        <v xml:space="preserve"> points</v>
      </c>
    </row>
    <row r="96" spans="2:23" ht="4.5" customHeight="1">
      <c r="D96" s="58"/>
      <c r="E96" s="59"/>
      <c r="F96" s="59"/>
      <c r="G96" s="59"/>
      <c r="H96" s="59"/>
      <c r="I96" s="59"/>
      <c r="J96" s="59"/>
      <c r="K96" s="59"/>
      <c r="L96" s="59"/>
      <c r="M96" s="59"/>
      <c r="N96" s="59"/>
      <c r="O96" s="59"/>
      <c r="P96" s="60"/>
      <c r="S96" s="220"/>
    </row>
    <row r="97" spans="2:34" ht="14.1" customHeight="1">
      <c r="D97" s="377" t="str">
        <f>IF(AE41&lt;&gt;2,"No index computed",IF(U94=0,"The WMI may be interpreted.","Because of subtest differences in the WMI, do not interpret WMI."))</f>
        <v>The WMI may be interpreted.</v>
      </c>
      <c r="E97" s="378"/>
      <c r="F97" s="378"/>
      <c r="G97" s="378"/>
      <c r="H97" s="378"/>
      <c r="I97" s="378"/>
      <c r="J97" s="378"/>
      <c r="K97" s="378"/>
      <c r="L97" s="378"/>
      <c r="M97" s="378"/>
      <c r="N97" s="378"/>
      <c r="O97" s="378"/>
      <c r="P97" s="379"/>
      <c r="S97" s="220"/>
    </row>
    <row r="98" spans="2:34" ht="6" customHeight="1" thickBot="1">
      <c r="D98" s="61"/>
      <c r="E98" s="62"/>
      <c r="F98" s="62"/>
      <c r="G98" s="62"/>
      <c r="H98" s="62"/>
      <c r="I98" s="62"/>
      <c r="J98" s="62"/>
      <c r="K98" s="62"/>
      <c r="L98" s="62"/>
      <c r="M98" s="62"/>
      <c r="N98" s="62"/>
      <c r="O98" s="62"/>
      <c r="P98" s="63"/>
      <c r="S98" s="220"/>
    </row>
    <row r="99" spans="2:34" ht="14.25" customHeight="1">
      <c r="D99" s="33"/>
      <c r="E99" s="33"/>
      <c r="F99" s="33"/>
      <c r="G99" s="33"/>
      <c r="H99" s="33"/>
      <c r="I99" s="33"/>
      <c r="J99" s="33"/>
      <c r="K99" s="33"/>
      <c r="L99" s="33"/>
      <c r="M99" s="33"/>
      <c r="N99" s="33"/>
      <c r="O99" s="33"/>
      <c r="P99" s="33"/>
      <c r="S99" s="220"/>
    </row>
    <row r="100" spans="2:34" ht="14.1" customHeight="1">
      <c r="B100" s="380" t="s">
        <v>438</v>
      </c>
      <c r="C100" s="380"/>
      <c r="D100" s="380"/>
      <c r="E100" s="380"/>
      <c r="F100" s="380"/>
      <c r="G100" s="380"/>
      <c r="H100" s="380"/>
      <c r="I100" s="380"/>
      <c r="J100" s="380"/>
      <c r="K100" s="380"/>
      <c r="L100" s="380"/>
      <c r="M100" s="380"/>
      <c r="N100" s="380"/>
      <c r="O100" s="380"/>
      <c r="P100" s="380"/>
      <c r="Q100" s="380"/>
      <c r="S100" s="220"/>
    </row>
    <row r="101" spans="2:34" ht="6" customHeight="1">
      <c r="D101" s="201"/>
      <c r="E101" s="201"/>
      <c r="F101" s="201"/>
      <c r="G101" s="201"/>
      <c r="H101" s="201"/>
      <c r="I101" s="203"/>
      <c r="J101" s="203"/>
      <c r="K101" s="64"/>
      <c r="L101" s="64"/>
      <c r="M101" s="207"/>
      <c r="N101" s="207"/>
      <c r="O101" s="207"/>
      <c r="P101" s="207"/>
      <c r="S101" s="220"/>
    </row>
    <row r="102" spans="2:34" ht="14.1" customHeight="1">
      <c r="D102" s="55" t="s">
        <v>136</v>
      </c>
      <c r="E102" s="42"/>
      <c r="F102" s="42"/>
      <c r="G102" s="42"/>
      <c r="H102" s="42"/>
      <c r="I102" s="52"/>
      <c r="J102" s="52"/>
      <c r="K102" s="52"/>
      <c r="L102" s="52"/>
      <c r="M102" s="390" t="s">
        <v>127</v>
      </c>
      <c r="N102" s="390"/>
      <c r="O102" s="390"/>
      <c r="P102" s="390"/>
    </row>
    <row r="103" spans="2:34" ht="14.1" customHeight="1">
      <c r="D103" s="372" t="str">
        <f>IF(AB43=1,"No Index Computed","PSI Subtests [ SS ("&amp;F21&amp;") Cd ("&amp;F18&amp;") ] Difference ")</f>
        <v xml:space="preserve">PSI Subtests [ SS (5) Cd (10) ] Difference </v>
      </c>
      <c r="E103" s="372"/>
      <c r="F103" s="372"/>
      <c r="G103" s="372"/>
      <c r="H103" s="372"/>
      <c r="I103" s="389" t="s">
        <v>130</v>
      </c>
      <c r="J103" s="383"/>
      <c r="K103" s="383" t="s">
        <v>129</v>
      </c>
      <c r="L103" s="384"/>
      <c r="M103" s="390"/>
      <c r="N103" s="390"/>
      <c r="O103" s="390"/>
      <c r="P103" s="390"/>
      <c r="U103" s="218">
        <f>ABS(AC37-AC38)</f>
        <v>5</v>
      </c>
    </row>
    <row r="104" spans="2:34" ht="14.1" customHeight="1">
      <c r="D104" s="372" t="str">
        <f>U103&amp;U105</f>
        <v>5 points</v>
      </c>
      <c r="E104" s="372"/>
      <c r="F104" s="372"/>
      <c r="G104" s="372"/>
      <c r="H104" s="372"/>
      <c r="I104" s="373" t="s">
        <v>134</v>
      </c>
      <c r="J104" s="374"/>
      <c r="K104" s="375" t="s">
        <v>133</v>
      </c>
      <c r="L104" s="376"/>
      <c r="M104" s="349" t="str">
        <f>IF(AB41&lt;&gt;2,"",IF(U103&gt;3,"YES","NO"))</f>
        <v>YES</v>
      </c>
      <c r="N104" s="349"/>
      <c r="O104" s="349"/>
      <c r="P104" s="349"/>
      <c r="U104" s="218">
        <f>IF(M104="NO",0,1)</f>
        <v>1</v>
      </c>
    </row>
    <row r="105" spans="2:34" ht="6.75" customHeight="1" thickBot="1">
      <c r="U105" s="218" t="str">
        <f>IF(U103=1," point"," points")</f>
        <v xml:space="preserve"> points</v>
      </c>
    </row>
    <row r="106" spans="2:34" ht="4.5" customHeight="1">
      <c r="D106" s="58"/>
      <c r="E106" s="59"/>
      <c r="F106" s="59"/>
      <c r="G106" s="59"/>
      <c r="H106" s="59"/>
      <c r="I106" s="59"/>
      <c r="J106" s="59"/>
      <c r="K106" s="59"/>
      <c r="L106" s="59"/>
      <c r="M106" s="59"/>
      <c r="N106" s="59"/>
      <c r="O106" s="59"/>
      <c r="P106" s="60"/>
      <c r="S106" s="220"/>
    </row>
    <row r="107" spans="2:34" ht="14.1" customHeight="1">
      <c r="D107" s="377" t="str">
        <f>IF(AB41&lt;&gt;2,"No index computed",IF(U104=0,"The PSI may be interpreted.","Because of subtest differences in the PSI, do not interpret PSI."))</f>
        <v>Because of subtest differences in the PSI, do not interpret PSI.</v>
      </c>
      <c r="E107" s="378"/>
      <c r="F107" s="378"/>
      <c r="G107" s="378"/>
      <c r="H107" s="378"/>
      <c r="I107" s="378"/>
      <c r="J107" s="378"/>
      <c r="K107" s="378"/>
      <c r="L107" s="378"/>
      <c r="M107" s="378"/>
      <c r="N107" s="378"/>
      <c r="O107" s="378"/>
      <c r="P107" s="379"/>
      <c r="S107" s="220"/>
    </row>
    <row r="108" spans="2:34" ht="6" customHeight="1" thickBot="1">
      <c r="D108" s="61"/>
      <c r="E108" s="62"/>
      <c r="F108" s="62"/>
      <c r="G108" s="62"/>
      <c r="H108" s="62"/>
      <c r="I108" s="62"/>
      <c r="J108" s="62"/>
      <c r="K108" s="62"/>
      <c r="L108" s="62"/>
      <c r="M108" s="62"/>
      <c r="N108" s="62"/>
      <c r="O108" s="62"/>
      <c r="P108" s="63"/>
      <c r="S108" s="220"/>
      <c r="AH108" s="218" t="s">
        <v>345</v>
      </c>
    </row>
    <row r="109" spans="2:34" ht="6" customHeight="1">
      <c r="D109" s="33"/>
      <c r="E109" s="33"/>
      <c r="F109" s="33"/>
      <c r="G109" s="33"/>
      <c r="H109" s="33"/>
      <c r="I109" s="33"/>
      <c r="J109" s="33"/>
      <c r="K109" s="33"/>
      <c r="L109" s="33"/>
      <c r="M109" s="33"/>
      <c r="N109" s="33"/>
      <c r="O109" s="33"/>
      <c r="P109" s="33"/>
      <c r="S109" s="220"/>
    </row>
    <row r="110" spans="2:34" ht="13.5" customHeight="1">
      <c r="B110" s="380" t="s">
        <v>439</v>
      </c>
      <c r="C110" s="380"/>
      <c r="D110" s="380"/>
      <c r="E110" s="380"/>
      <c r="F110" s="380"/>
      <c r="G110" s="380"/>
      <c r="H110" s="380"/>
      <c r="I110" s="380"/>
      <c r="J110" s="380"/>
      <c r="K110" s="380"/>
      <c r="L110" s="380"/>
      <c r="M110" s="380"/>
      <c r="N110" s="380"/>
      <c r="O110" s="380"/>
      <c r="P110" s="380"/>
      <c r="Q110" s="380"/>
      <c r="R110" s="149"/>
      <c r="S110" s="220"/>
      <c r="AE110" s="223">
        <f ca="1">IF(sim="","",IF(VOC="","",IF(IN="","",1)))</f>
        <v>1</v>
      </c>
      <c r="AF110" s="223">
        <f ca="1">IF(sim="","",IF(VOC="","",IF(IN="","",(sim+VOC+IN))))</f>
        <v>39</v>
      </c>
      <c r="AG110" s="223">
        <f ca="1">IF(sim="","",IF(VOC="","",IF(IN="","",3)))</f>
        <v>3</v>
      </c>
      <c r="AH110" s="228">
        <f>IF(AE110=1,(AF110/AG110),"")</f>
        <v>13</v>
      </c>
    </row>
    <row r="111" spans="2:34" ht="14.1" customHeight="1">
      <c r="I111" s="65" t="s">
        <v>158</v>
      </c>
      <c r="K111" s="166">
        <f>IF(T113=1,AH110,AA48)</f>
        <v>12.75</v>
      </c>
      <c r="L111" s="2" t="str">
        <f>"   based on "&amp;IF(T113=1,AG110,AA47)&amp;" subtests"</f>
        <v xml:space="preserve">   based on 4 subtests</v>
      </c>
      <c r="AE111" s="223">
        <f ca="1">IF(bd="","",IF(MR="","",1))</f>
        <v>1</v>
      </c>
      <c r="AF111" s="223">
        <f ca="1">IF(bd="","",IF(MR="","",IF(VP="","",(bd+MR+VP))))</f>
        <v>35</v>
      </c>
      <c r="AG111" s="223">
        <f ca="1">IF(bd="","",IF(MR="","",IF(VP="","",3)))</f>
        <v>3</v>
      </c>
      <c r="AH111" s="228">
        <f>IF(AE111=1,(AF111/AG111),"")</f>
        <v>11.666666666666666</v>
      </c>
    </row>
    <row r="112" spans="2:34" ht="14.1" customHeight="1">
      <c r="I112" s="65" t="s">
        <v>236</v>
      </c>
      <c r="K112" s="166">
        <f>IF(T113=1,AH111,AE48)</f>
        <v>12.2</v>
      </c>
      <c r="L112" s="2" t="str">
        <f>"   based on "&amp;IF(T113=1,AG111,AD47)&amp;" subtests"</f>
        <v xml:space="preserve">   based on 5 subtests</v>
      </c>
      <c r="AE112" s="223">
        <f ca="1">IF(DS="","",IF(AR="","",1))</f>
        <v>1</v>
      </c>
      <c r="AF112" s="223">
        <f ca="1">IF(DS="","",IF(AR="","",(DS+AR)))</f>
        <v>28</v>
      </c>
      <c r="AG112" s="223">
        <f ca="1">IF(DS="","",IF(AR="","",2))</f>
        <v>2</v>
      </c>
      <c r="AH112" s="228">
        <f>IF(AE112=1,(AF112/AG112),"")</f>
        <v>14</v>
      </c>
    </row>
    <row r="113" spans="2:37" ht="14.1" customHeight="1">
      <c r="I113" s="65" t="s">
        <v>48</v>
      </c>
      <c r="K113" s="166">
        <f>IF(T113=1,AH114,AI48)</f>
        <v>11.533333333333333</v>
      </c>
      <c r="L113" s="2" t="str">
        <f>"   based on "&amp;IF(T113=1,AG114,AI47)&amp;" subtests"</f>
        <v xml:space="preserve">   based on 15 subtests</v>
      </c>
      <c r="T113" s="215">
        <v>2</v>
      </c>
      <c r="AE113" s="223">
        <f ca="1">IF(SS="","",IF(CD="","",1))</f>
        <v>1</v>
      </c>
      <c r="AF113" s="223">
        <f ca="1">IF(SS="","",IF(CD="","",(SS+CD)))</f>
        <v>15</v>
      </c>
      <c r="AG113" s="223">
        <f ca="1">IF(SS="","",IF(CD="","",2))</f>
        <v>2</v>
      </c>
      <c r="AH113" s="228">
        <f>IF(AE113=1,(AF113/AG113),"")</f>
        <v>7.5</v>
      </c>
    </row>
    <row r="114" spans="2:37" ht="5.25" customHeight="1">
      <c r="AE114" s="218">
        <f>SUM(AE110:AE113)</f>
        <v>4</v>
      </c>
      <c r="AF114" s="218">
        <f>SUM(AF110:AF113)</f>
        <v>117</v>
      </c>
      <c r="AG114" s="218">
        <f>SUM(AG110:AG113)</f>
        <v>10</v>
      </c>
      <c r="AH114" s="228">
        <f>IF(AE114=4,(AF114/AG114),"")</f>
        <v>11.7</v>
      </c>
    </row>
    <row r="115" spans="2:37" ht="14.1" customHeight="1">
      <c r="H115" s="368" t="s">
        <v>344</v>
      </c>
      <c r="I115" s="368"/>
      <c r="J115" s="368"/>
      <c r="K115" s="368"/>
      <c r="L115" s="368"/>
      <c r="N115" s="368" t="s">
        <v>145</v>
      </c>
      <c r="O115" s="368"/>
      <c r="P115" s="368"/>
      <c r="Q115" s="368"/>
    </row>
    <row r="116" spans="2:37" ht="14.1" customHeight="1">
      <c r="F116" s="66" t="s">
        <v>2</v>
      </c>
      <c r="I116" s="66" t="s">
        <v>102</v>
      </c>
      <c r="K116" s="66" t="s">
        <v>103</v>
      </c>
      <c r="N116" s="66" t="s">
        <v>102</v>
      </c>
      <c r="P116" s="66" t="s">
        <v>103</v>
      </c>
      <c r="U116" s="218" t="s">
        <v>313</v>
      </c>
      <c r="V116" s="218" t="s">
        <v>314</v>
      </c>
      <c r="W116" s="218" t="s">
        <v>315</v>
      </c>
      <c r="X116" s="218" t="s">
        <v>314</v>
      </c>
      <c r="AD116" s="219" t="s">
        <v>326</v>
      </c>
    </row>
    <row r="117" spans="2:37" ht="14.25" customHeight="1">
      <c r="B117" s="381" t="s">
        <v>14</v>
      </c>
      <c r="C117" s="381"/>
      <c r="D117" s="42" t="s">
        <v>10</v>
      </c>
      <c r="F117" s="201">
        <f>IF(F13="","",F13)</f>
        <v>16</v>
      </c>
      <c r="H117" s="42"/>
      <c r="I117" s="167">
        <v>1.91</v>
      </c>
      <c r="J117" s="168"/>
      <c r="K117" s="169">
        <f>IF(F117="","",(F117-$K$111))</f>
        <v>3.25</v>
      </c>
      <c r="L117" s="201" t="str">
        <f>IF(F117="","",IF(SUM(U117+V117)=4,"s",IF(SUM(U117+V117)=2,"w","")))</f>
        <v>s</v>
      </c>
      <c r="M117" s="42"/>
      <c r="N117" s="167">
        <f ca="1">IF(compmean=1,2.82,3.09)</f>
        <v>3.09</v>
      </c>
      <c r="O117" s="168"/>
      <c r="P117" s="169">
        <f>IF(N117="","",($F117-K$113))</f>
        <v>4.4666666666666668</v>
      </c>
      <c r="Q117" s="201" t="str">
        <f>IF(F117="","",IF(SUM(W117+X117)=4,"s",IF(SUM(W117+X117)=2,"w","")))</f>
        <v>s</v>
      </c>
      <c r="U117" s="218">
        <f>IF(ABS(K117)&gt;=I117,3,0)</f>
        <v>3</v>
      </c>
      <c r="V117" s="218">
        <f t="shared" ref="V117:V126" si="4">SIGN(K117)</f>
        <v>1</v>
      </c>
      <c r="W117" s="218">
        <f>IF(ABS(P117)&gt;=N117,3,0)</f>
        <v>3</v>
      </c>
      <c r="X117" s="218">
        <f>SIGN(P117)</f>
        <v>1</v>
      </c>
      <c r="AA117" s="218">
        <f>IF(W117=0,0,1)</f>
        <v>1</v>
      </c>
      <c r="AB117" s="218" t="str">
        <f>Q117</f>
        <v>s</v>
      </c>
      <c r="AC117" s="229" t="s">
        <v>11</v>
      </c>
      <c r="AD117" s="230">
        <v>3.0874942591039747</v>
      </c>
    </row>
    <row r="118" spans="2:37" ht="14.25" customHeight="1">
      <c r="B118" s="381"/>
      <c r="C118" s="381"/>
      <c r="D118" s="42" t="s">
        <v>9</v>
      </c>
      <c r="F118" s="201">
        <f>IF(F16="","",F16)</f>
        <v>11</v>
      </c>
      <c r="H118" s="42"/>
      <c r="I118" s="167">
        <v>1.58</v>
      </c>
      <c r="J118" s="168"/>
      <c r="K118" s="169">
        <f>IF(F118="","",(F118-$K$111))</f>
        <v>-1.75</v>
      </c>
      <c r="L118" s="201" t="str">
        <f>IF(F118="","",IF(SUM(U118+V118)=4,"s",IF(SUM(U118+V118)=2,"w","")))</f>
        <v>w</v>
      </c>
      <c r="M118" s="42"/>
      <c r="N118" s="167">
        <f ca="1">IF(compmean=1,2.03,2.18)</f>
        <v>2.1800000000000002</v>
      </c>
      <c r="O118" s="168"/>
      <c r="P118" s="169">
        <f>IF(N118="","",($F118-K$113))</f>
        <v>-0.53333333333333321</v>
      </c>
      <c r="Q118" s="201" t="str">
        <f>IF(F118="","",IF(SUM(W118+X118)=4,"s",IF(SUM(W118+X118)=2,"w","")))</f>
        <v/>
      </c>
      <c r="U118" s="218">
        <f t="shared" ref="U118:U126" si="5">IF(ABS(K118)&gt;=I118,3,0)</f>
        <v>3</v>
      </c>
      <c r="V118" s="218">
        <f t="shared" si="4"/>
        <v>-1</v>
      </c>
      <c r="W118" s="218">
        <f t="shared" ref="W118:W134" si="6">IF(ABS(P118)&gt;=N118,3,0)</f>
        <v>0</v>
      </c>
      <c r="X118" s="218">
        <f t="shared" ref="X118:X134" si="7">SIGN(P118)</f>
        <v>-1</v>
      </c>
      <c r="AA118" s="218">
        <f t="shared" ref="AA118:AA132" si="8">IF(W118=0,0,1)</f>
        <v>0</v>
      </c>
      <c r="AB118" s="218" t="str">
        <f>Q118</f>
        <v/>
      </c>
      <c r="AC118" s="229" t="s">
        <v>10</v>
      </c>
      <c r="AD118" s="230">
        <v>3.0874942591039747</v>
      </c>
    </row>
    <row r="119" spans="2:37" ht="14.25" customHeight="1">
      <c r="B119" s="381"/>
      <c r="C119" s="381"/>
      <c r="D119" s="42" t="s">
        <v>15</v>
      </c>
      <c r="F119" s="201">
        <f>IF(F20="","",F20)</f>
        <v>12</v>
      </c>
      <c r="H119" s="42"/>
      <c r="I119" s="167">
        <v>1.64</v>
      </c>
      <c r="J119" s="168"/>
      <c r="K119" s="169">
        <f>IF(F119="","",(F119-$K$111))</f>
        <v>-0.75</v>
      </c>
      <c r="L119" s="201" t="str">
        <f>IF(F119="","",IF(SUM(U119+V119)=4,"s",IF(SUM(U119+V119)=2,"w","")))</f>
        <v/>
      </c>
      <c r="M119" s="42"/>
      <c r="N119" s="167">
        <f ca="1">IF(compmean=1,2.19,2.33)</f>
        <v>2.33</v>
      </c>
      <c r="O119" s="168"/>
      <c r="P119" s="169">
        <f>IF(N119="","",($F119-K$113))</f>
        <v>0.46666666666666679</v>
      </c>
      <c r="Q119" s="201" t="str">
        <f>IF(F119="","",IF(SUM(W119+X119)=4,"s",IF(SUM(W119+X119)=2,"w","")))</f>
        <v/>
      </c>
      <c r="U119" s="218">
        <f t="shared" si="5"/>
        <v>0</v>
      </c>
      <c r="V119" s="218">
        <f t="shared" si="4"/>
        <v>-1</v>
      </c>
      <c r="W119" s="218">
        <f t="shared" si="6"/>
        <v>0</v>
      </c>
      <c r="X119" s="218">
        <f t="shared" si="7"/>
        <v>1</v>
      </c>
      <c r="AA119" s="218">
        <f t="shared" si="8"/>
        <v>0</v>
      </c>
      <c r="AB119" s="218" t="str">
        <f>Q119</f>
        <v/>
      </c>
      <c r="AC119" s="229" t="s">
        <v>165</v>
      </c>
      <c r="AD119" s="230">
        <v>2.3307063307074953</v>
      </c>
      <c r="AF119" s="218" t="e">
        <f>LOOKUP(#REF!,R369:W369,R370:W370)</f>
        <v>#REF!</v>
      </c>
      <c r="AG119" s="218" t="e">
        <f>LOOKUP(#REF!,R371:W371,R372:W372)</f>
        <v>#REF!</v>
      </c>
      <c r="AH119" s="218" t="e">
        <f>LOOKUP(#REF!,R373:W373,R374:W374)</f>
        <v>#REF!</v>
      </c>
      <c r="AI119" s="218" t="e">
        <f>LOOKUP(#REF!,R375:W375,R376:W376)</f>
        <v>#REF!</v>
      </c>
      <c r="AJ119" s="218" t="e">
        <f>LOOKUP(#REF!,R377:W377,R378:W378)</f>
        <v>#REF!</v>
      </c>
      <c r="AK119" s="218" t="e">
        <f>CHOOSE(AJ53,AF119,AG119,AH119,AI119,AJ119)</f>
        <v>#VALUE!</v>
      </c>
    </row>
    <row r="120" spans="2:37" ht="14.25" customHeight="1">
      <c r="B120" s="381"/>
      <c r="C120" s="381"/>
      <c r="D120" s="164" t="s">
        <v>17</v>
      </c>
      <c r="F120" s="201">
        <f>IF(F24="","",F24)</f>
        <v>12</v>
      </c>
      <c r="H120" s="42"/>
      <c r="I120" s="167">
        <f>IF(OR(F120="",T113=1),"",IF($AB$47&lt;3,"",2))</f>
        <v>2</v>
      </c>
      <c r="J120" s="168"/>
      <c r="K120" s="169">
        <f>IF(OR(F120="",T113=1),"",F120-$K$111)</f>
        <v>-0.75</v>
      </c>
      <c r="L120" s="201" t="str">
        <f>IF(OR(F120="",T113=1),"",IF(SUM(U120+V120)=4,"s",IF(SUM(U120+V120)=2,"w","")))</f>
        <v/>
      </c>
      <c r="M120" s="42"/>
      <c r="N120" s="167">
        <f ca="1">IF(OR(F120="",compmean=1),"",IF($AI$47&lt;7,"",3.09))</f>
        <v>3.09</v>
      </c>
      <c r="O120" s="168"/>
      <c r="P120" s="169">
        <f>IF(OR(F120="",T113=1),"",($F120-K$113))</f>
        <v>0.46666666666666679</v>
      </c>
      <c r="Q120" s="201" t="str">
        <f>IF(OR(F120="",T113=1),"",IF(SUM(W120+X120)=4,"s",IF(SUM(W120+X120)=2,"w","")))</f>
        <v/>
      </c>
      <c r="U120" s="218">
        <f t="shared" si="5"/>
        <v>0</v>
      </c>
      <c r="V120" s="218">
        <f t="shared" si="4"/>
        <v>-1</v>
      </c>
      <c r="W120" s="218">
        <f t="shared" si="6"/>
        <v>0</v>
      </c>
      <c r="X120" s="218">
        <f t="shared" si="7"/>
        <v>1</v>
      </c>
      <c r="AA120" s="218">
        <f t="shared" si="8"/>
        <v>0</v>
      </c>
      <c r="AB120" s="218" t="str">
        <f>Q120</f>
        <v/>
      </c>
      <c r="AC120" s="229" t="s">
        <v>13</v>
      </c>
      <c r="AD120" s="230">
        <v>2.7353987643486275</v>
      </c>
      <c r="AF120" s="218" t="e">
        <f>LOOKUP(#REF!,D369:I369,D370:I370)</f>
        <v>#REF!</v>
      </c>
      <c r="AG120" s="218" t="e">
        <f>LOOKUP(#REF!,D371:I371,D372:I372)</f>
        <v>#REF!</v>
      </c>
      <c r="AH120" s="218" t="e">
        <f>LOOKUP(#REF!,D373:I373,D374:I374)</f>
        <v>#REF!</v>
      </c>
      <c r="AI120" s="218" t="e">
        <f>LOOKUP(#REF!,D375:I375,D376:I376)</f>
        <v>#REF!</v>
      </c>
      <c r="AJ120" s="218" t="e">
        <f>LOOKUP(#REF!,D377:I377,D378:I378)</f>
        <v>#REF!</v>
      </c>
      <c r="AK120" s="218" t="e">
        <f>CHOOSE(AJ53,AF120,AG120,AH120,AI120,AJ120)</f>
        <v>#VALUE!</v>
      </c>
    </row>
    <row r="121" spans="2:37" ht="3.75" customHeight="1">
      <c r="B121" s="381"/>
      <c r="C121" s="381"/>
      <c r="D121" s="70"/>
      <c r="E121" s="70"/>
      <c r="F121" s="70"/>
      <c r="G121" s="70"/>
      <c r="H121" s="70"/>
      <c r="I121" s="70"/>
      <c r="J121" s="70"/>
      <c r="K121" s="70"/>
      <c r="L121" s="70"/>
      <c r="M121" s="70"/>
      <c r="N121" s="70"/>
      <c r="O121" s="70"/>
      <c r="P121" s="70"/>
      <c r="Q121" s="70"/>
      <c r="AC121" s="229" t="s">
        <v>9</v>
      </c>
      <c r="AD121" s="230">
        <v>2.1791712186058265</v>
      </c>
      <c r="AF121" s="218" t="e">
        <f>LOOKUP(#REF!,K369:P369,K370:P370)</f>
        <v>#REF!</v>
      </c>
      <c r="AG121" s="218" t="e">
        <f>LOOKUP(#REF!,K371:P371,K372:P372)</f>
        <v>#REF!</v>
      </c>
      <c r="AH121" s="218" t="e">
        <f>LOOKUP(#REF!,K373:P373,K374:P374)</f>
        <v>#REF!</v>
      </c>
      <c r="AI121" s="218" t="e">
        <f>LOOKUP(#REF!,K375:P375,K376:P376)</f>
        <v>#REF!</v>
      </c>
      <c r="AJ121" s="218" t="e">
        <f>LOOKUP(#REF!,K377:P377,K378:P378)</f>
        <v>#REF!</v>
      </c>
      <c r="AK121" s="218" t="e">
        <f>CHOOSE(AJ53,AF121,AG121,AH121,AI121,AJ121)</f>
        <v>#VALUE!</v>
      </c>
    </row>
    <row r="122" spans="2:37" ht="14.25" customHeight="1">
      <c r="B122" s="69"/>
      <c r="C122" s="69"/>
      <c r="D122" s="42" t="s">
        <v>11</v>
      </c>
      <c r="F122" s="201">
        <f>IF(F12="","",F12)</f>
        <v>10</v>
      </c>
      <c r="H122" s="42"/>
      <c r="I122" s="167">
        <v>2.0499999999999998</v>
      </c>
      <c r="J122" s="168"/>
      <c r="K122" s="169">
        <f>IF(F122="","",(F122-$K$112))</f>
        <v>-2.1999999999999993</v>
      </c>
      <c r="L122" s="201" t="str">
        <f>IF(F122="","",IF(SUM(U122+V122)=4,"s",IF(SUM(U122+V122)=2,"w","")))</f>
        <v>w</v>
      </c>
      <c r="M122" s="42"/>
      <c r="N122" s="167">
        <f ca="1">IF(compmean=1,2.85,3.09)</f>
        <v>3.09</v>
      </c>
      <c r="O122" s="168"/>
      <c r="P122" s="169">
        <f>IF(N122="","",($F122-K$113))</f>
        <v>-1.5333333333333332</v>
      </c>
      <c r="Q122" s="201" t="str">
        <f>IF(F122="","",IF(SUM(W122+X122)=4,"s",IF(SUM(W122+X122)=2,"w","")))</f>
        <v/>
      </c>
      <c r="U122" s="218">
        <f t="shared" si="5"/>
        <v>3</v>
      </c>
      <c r="V122" s="218">
        <f t="shared" si="4"/>
        <v>-1</v>
      </c>
      <c r="W122" s="218">
        <f t="shared" si="6"/>
        <v>0</v>
      </c>
      <c r="X122" s="218">
        <f t="shared" si="7"/>
        <v>-1</v>
      </c>
      <c r="AA122" s="218">
        <f t="shared" si="8"/>
        <v>0</v>
      </c>
      <c r="AB122" s="218" t="str">
        <f>Q122</f>
        <v/>
      </c>
      <c r="AC122" s="229" t="s">
        <v>167</v>
      </c>
      <c r="AD122" s="230">
        <v>2.9747631838517838</v>
      </c>
    </row>
    <row r="123" spans="2:37" ht="14.25" customHeight="1">
      <c r="B123" s="381" t="s">
        <v>159</v>
      </c>
      <c r="C123" s="381"/>
      <c r="D123" s="42" t="s">
        <v>13</v>
      </c>
      <c r="F123" s="201">
        <f>IF(F15="","",F15)</f>
        <v>16</v>
      </c>
      <c r="H123" s="42"/>
      <c r="I123" s="167">
        <v>1.92</v>
      </c>
      <c r="J123" s="168"/>
      <c r="K123" s="169">
        <f>IF(F123="","",(F123-$K$112))</f>
        <v>3.8000000000000007</v>
      </c>
      <c r="L123" s="201" t="str">
        <f>IF(F123="","",IF(SUM(U123+V123)=4,"s",IF(SUM(U123+V123)=2,"w","")))</f>
        <v>s</v>
      </c>
      <c r="M123" s="42"/>
      <c r="N123" s="167">
        <f ca="1">IF(compmean=1,2.54,2.74)</f>
        <v>2.74</v>
      </c>
      <c r="O123" s="168"/>
      <c r="P123" s="169">
        <f>IF(N123="","",($F123-K$113))</f>
        <v>4.4666666666666668</v>
      </c>
      <c r="Q123" s="201" t="str">
        <f>IF(F123="","",IF(SUM(W123+X123)=4,"s",IF(SUM(W123+X123)=2,"w","")))</f>
        <v>s</v>
      </c>
      <c r="U123" s="218">
        <f t="shared" si="5"/>
        <v>3</v>
      </c>
      <c r="V123" s="218">
        <f t="shared" si="4"/>
        <v>1</v>
      </c>
      <c r="W123" s="218">
        <f t="shared" si="6"/>
        <v>3</v>
      </c>
      <c r="X123" s="218">
        <f t="shared" si="7"/>
        <v>1</v>
      </c>
      <c r="AA123" s="218">
        <f t="shared" si="8"/>
        <v>1</v>
      </c>
      <c r="AB123" s="218" t="str">
        <f>Q123</f>
        <v>s</v>
      </c>
      <c r="AC123" s="229" t="s">
        <v>256</v>
      </c>
      <c r="AD123" s="230">
        <v>3.6922959794686014</v>
      </c>
    </row>
    <row r="124" spans="2:37" ht="14.25" customHeight="1">
      <c r="B124" s="381"/>
      <c r="C124" s="381"/>
      <c r="D124" s="42" t="s">
        <v>311</v>
      </c>
      <c r="F124" s="203">
        <f>IF(F19="","",F19)</f>
        <v>9</v>
      </c>
      <c r="H124" s="52"/>
      <c r="I124" s="167">
        <v>1.99</v>
      </c>
      <c r="J124" s="170"/>
      <c r="K124" s="169">
        <f>IF(F124="","",(F124-$K$112))</f>
        <v>-3.1999999999999993</v>
      </c>
      <c r="L124" s="201" t="str">
        <f>IF(F124="","",IF(SUM(U124+V124)=4,"s",IF(SUM(U124+V124)=2,"w","")))</f>
        <v>w</v>
      </c>
      <c r="M124" s="42"/>
      <c r="N124" s="167">
        <f ca="1">IF(compmean=1,2.71,2.86)</f>
        <v>2.86</v>
      </c>
      <c r="O124" s="168"/>
      <c r="P124" s="169">
        <f>IF(N124="","",($F124-K$113))</f>
        <v>-2.5333333333333332</v>
      </c>
      <c r="Q124" s="201" t="str">
        <f>IF(F124="","",IF(SUM(W124+X124)=4,"s",IF(SUM(W124+X124)=2,"w","")))</f>
        <v/>
      </c>
      <c r="U124" s="218">
        <f t="shared" si="5"/>
        <v>3</v>
      </c>
      <c r="V124" s="218">
        <f t="shared" si="4"/>
        <v>-1</v>
      </c>
      <c r="W124" s="218">
        <f t="shared" si="6"/>
        <v>0</v>
      </c>
      <c r="X124" s="218">
        <f t="shared" si="7"/>
        <v>-1</v>
      </c>
      <c r="AA124" s="218">
        <f t="shared" si="8"/>
        <v>0</v>
      </c>
      <c r="AB124" s="218" t="str">
        <f>Q124</f>
        <v/>
      </c>
      <c r="AC124" s="229" t="s">
        <v>311</v>
      </c>
      <c r="AD124" s="230">
        <v>2.8575883538396498</v>
      </c>
    </row>
    <row r="125" spans="2:37" ht="14.25" customHeight="1">
      <c r="B125" s="381"/>
      <c r="C125" s="381"/>
      <c r="D125" s="164" t="s">
        <v>312</v>
      </c>
      <c r="F125" s="203">
        <f>IF(F23="","",F23)</f>
        <v>16</v>
      </c>
      <c r="H125" s="52"/>
      <c r="I125" s="167">
        <f>IF(OR(F125="",T113=1),"",IF($AB$47&lt;3,"",2))</f>
        <v>2</v>
      </c>
      <c r="J125" s="170"/>
      <c r="K125" s="169">
        <f>IF(OR(F125="",T113=1),"",(F125-$K$112))</f>
        <v>3.8000000000000007</v>
      </c>
      <c r="L125" s="201" t="str">
        <f>IF(OR(F125="",T113=1),"",IF(SUM(U125+V125)=4,"s",IF(SUM(U125+V125)=2,"w","")))</f>
        <v>s</v>
      </c>
      <c r="M125" s="42"/>
      <c r="N125" s="167">
        <f>IF(OR(F125="",T113=1),"",IF($AI$47&lt;7,"",2.74))</f>
        <v>2.74</v>
      </c>
      <c r="O125" s="168"/>
      <c r="P125" s="169">
        <f>IF(OR(F125="",T113=1),"",($F125-K$113))</f>
        <v>4.4666666666666668</v>
      </c>
      <c r="Q125" s="201" t="str">
        <f>IF(OR(F125="",T113=1),"",IF(SUM(W125+X125)=4,"s",IF(SUM(W125+X125)=2,"w","")))</f>
        <v>s</v>
      </c>
      <c r="U125" s="218">
        <f t="shared" si="5"/>
        <v>3</v>
      </c>
      <c r="V125" s="218">
        <f t="shared" si="4"/>
        <v>1</v>
      </c>
      <c r="W125" s="218">
        <f t="shared" si="6"/>
        <v>3</v>
      </c>
      <c r="X125" s="218">
        <f t="shared" si="7"/>
        <v>1</v>
      </c>
      <c r="AA125" s="218">
        <f t="shared" si="8"/>
        <v>1</v>
      </c>
      <c r="AB125" s="218" t="str">
        <f>Q125</f>
        <v>s</v>
      </c>
      <c r="AC125" s="229" t="s">
        <v>15</v>
      </c>
      <c r="AD125" s="230">
        <v>2.3307063307074953</v>
      </c>
    </row>
    <row r="126" spans="2:37" ht="14.25" customHeight="1">
      <c r="B126" s="381"/>
      <c r="C126" s="381"/>
      <c r="D126" s="164" t="s">
        <v>5</v>
      </c>
      <c r="F126" s="203">
        <f>IF(F26="","",F26)</f>
        <v>10</v>
      </c>
      <c r="H126" s="52"/>
      <c r="I126" s="167">
        <f>IF(OR(F126="",T113=1),"",IF($AB$47&lt;3,"",2))</f>
        <v>2</v>
      </c>
      <c r="J126" s="170"/>
      <c r="K126" s="169">
        <f>IF(OR(F126="",T113=1),"",(F126-$K$112))</f>
        <v>-2.1999999999999993</v>
      </c>
      <c r="L126" s="201" t="str">
        <f>IF(OR(F126="",T113=1),"",IF(SUM(U126+V126)=4,"s",IF(SUM(U126+V126)=2,"w","")))</f>
        <v>w</v>
      </c>
      <c r="M126" s="42"/>
      <c r="N126" s="167">
        <f>IF(OR(F126="",T113=1),"",IF($AI$47&lt;7,"",3.4))</f>
        <v>3.4</v>
      </c>
      <c r="O126" s="168"/>
      <c r="P126" s="169">
        <f>IF(OR(F126="",T113=1),"",($F126-K$113))</f>
        <v>-1.5333333333333332</v>
      </c>
      <c r="Q126" s="201" t="str">
        <f>IF(OR(F126="",T113=1),"",IF(SUM(W126+X126)=4,"s",IF(SUM(W126+X126)=2,"w","")))</f>
        <v/>
      </c>
      <c r="U126" s="218">
        <f t="shared" si="5"/>
        <v>3</v>
      </c>
      <c r="V126" s="218">
        <f t="shared" si="4"/>
        <v>-1</v>
      </c>
      <c r="W126" s="218">
        <f t="shared" si="6"/>
        <v>0</v>
      </c>
      <c r="X126" s="218">
        <f t="shared" si="7"/>
        <v>-1</v>
      </c>
      <c r="AA126" s="218">
        <f t="shared" si="8"/>
        <v>0</v>
      </c>
      <c r="AB126" s="218" t="str">
        <f>Q126</f>
        <v/>
      </c>
      <c r="AC126" s="229" t="s">
        <v>112</v>
      </c>
      <c r="AD126" s="230">
        <v>3.1962518048489237</v>
      </c>
    </row>
    <row r="127" spans="2:37" ht="4.5" customHeight="1">
      <c r="B127" s="381"/>
      <c r="C127" s="381"/>
      <c r="D127" s="70"/>
      <c r="E127" s="70"/>
      <c r="F127" s="70"/>
      <c r="G127" s="70"/>
      <c r="H127" s="70"/>
      <c r="I127" s="70"/>
      <c r="J127" s="70"/>
      <c r="K127" s="70"/>
      <c r="L127" s="70"/>
      <c r="M127" s="70"/>
      <c r="N127" s="70"/>
      <c r="O127" s="70"/>
      <c r="P127" s="70"/>
      <c r="Q127" s="70"/>
      <c r="AB127" s="218" t="str">
        <f>Q129</f>
        <v>s</v>
      </c>
      <c r="AC127" s="231" t="s">
        <v>166</v>
      </c>
      <c r="AD127" s="230">
        <v>2.9747631838517838</v>
      </c>
    </row>
    <row r="128" spans="2:37" ht="13.5" customHeight="1">
      <c r="B128" s="381" t="s">
        <v>150</v>
      </c>
      <c r="C128" s="381"/>
      <c r="D128" s="2" t="s">
        <v>165</v>
      </c>
      <c r="E128" s="69"/>
      <c r="F128" s="201">
        <f>IF(F14="","",F14)</f>
        <v>12</v>
      </c>
      <c r="G128" s="69"/>
      <c r="H128" s="69"/>
      <c r="I128" s="69"/>
      <c r="J128" s="69"/>
      <c r="K128" s="69"/>
      <c r="L128" s="69"/>
      <c r="M128" s="69"/>
      <c r="N128" s="167">
        <f ca="1">IF(compmean=1,2.22,2.33)</f>
        <v>2.33</v>
      </c>
      <c r="O128" s="168"/>
      <c r="P128" s="169">
        <f>IF(N128="","",($F128-K$113))</f>
        <v>0.46666666666666679</v>
      </c>
      <c r="Q128" s="201" t="str">
        <f t="shared" ref="Q128:Q133" si="9">IF(F128="","",IF(SUM(W128+X128)=4,"s",IF(SUM(W128+X128)=2,"w","")))</f>
        <v/>
      </c>
      <c r="W128" s="218">
        <f t="shared" si="6"/>
        <v>0</v>
      </c>
      <c r="X128" s="218">
        <f t="shared" si="7"/>
        <v>1</v>
      </c>
      <c r="AA128" s="218">
        <f>IF(W128=0,0,1)</f>
        <v>0</v>
      </c>
      <c r="AC128" s="231" t="s">
        <v>312</v>
      </c>
      <c r="AD128" s="230">
        <v>2.7353987643486275</v>
      </c>
    </row>
    <row r="129" spans="2:39" ht="13.9" customHeight="1">
      <c r="B129" s="381"/>
      <c r="C129" s="381"/>
      <c r="D129" s="2" t="s">
        <v>167</v>
      </c>
      <c r="F129" s="201">
        <f>IF(F17="","",F17)</f>
        <v>16</v>
      </c>
      <c r="H129" s="42"/>
      <c r="I129" s="67"/>
      <c r="J129" s="42"/>
      <c r="K129" s="68"/>
      <c r="L129" s="201"/>
      <c r="M129" s="42"/>
      <c r="N129" s="167">
        <f ca="1">IF(compmean=1,2.73,2.97)</f>
        <v>2.97</v>
      </c>
      <c r="O129" s="168"/>
      <c r="P129" s="169">
        <f>IF(N129="","",($F129-K$113))</f>
        <v>4.4666666666666668</v>
      </c>
      <c r="Q129" s="201" t="str">
        <f t="shared" si="9"/>
        <v>s</v>
      </c>
      <c r="W129" s="218">
        <f t="shared" si="6"/>
        <v>3</v>
      </c>
      <c r="X129" s="218">
        <f t="shared" si="7"/>
        <v>1</v>
      </c>
      <c r="AA129" s="218">
        <f>IF(W129=0,0,1)</f>
        <v>1</v>
      </c>
      <c r="AB129" s="218" t="str">
        <f>Q130</f>
        <v/>
      </c>
      <c r="AC129" s="231" t="s">
        <v>17</v>
      </c>
      <c r="AD129" s="230">
        <v>3.0874942591039747</v>
      </c>
      <c r="AE129" s="219"/>
      <c r="AF129" s="219"/>
      <c r="AG129" s="219"/>
      <c r="AH129" s="219"/>
      <c r="AI129" s="219"/>
      <c r="AJ129" s="219"/>
      <c r="AK129" s="219"/>
      <c r="AL129" s="219"/>
      <c r="AM129" s="219"/>
    </row>
    <row r="130" spans="2:39" ht="13.9" customHeight="1">
      <c r="B130" s="381"/>
      <c r="C130" s="381"/>
      <c r="D130" s="165" t="s">
        <v>166</v>
      </c>
      <c r="F130" s="201">
        <f>IF(F22="","",F22)</f>
        <v>11</v>
      </c>
      <c r="H130" s="42"/>
      <c r="I130" s="67"/>
      <c r="J130" s="42"/>
      <c r="K130" s="68"/>
      <c r="L130" s="201" t="str">
        <f>IF(F130="","",IF(SUM(U129+V129)=4,"s",IF(SUM(U129+V129)=2,"w","")))</f>
        <v/>
      </c>
      <c r="M130" s="42"/>
      <c r="N130" s="167">
        <f ca="1">IF(OR(F130="",T113=1),"",IF($AI$47&lt;7,"",2.97))</f>
        <v>2.97</v>
      </c>
      <c r="O130" s="168"/>
      <c r="P130" s="169">
        <f>IF(OR(F130="",T113=1),"",($F130-K$113))</f>
        <v>-0.53333333333333321</v>
      </c>
      <c r="Q130" s="201" t="str">
        <f>IF(OR(F130="",T113=1),"",IF(SUM(W130+X130)=4,"s",IF(SUM(W130+X130)=2,"w","")))</f>
        <v/>
      </c>
      <c r="W130" s="218">
        <f t="shared" si="6"/>
        <v>0</v>
      </c>
      <c r="X130" s="218">
        <f t="shared" si="7"/>
        <v>-1</v>
      </c>
      <c r="AA130" s="218">
        <f t="shared" si="8"/>
        <v>0</v>
      </c>
      <c r="AC130" s="231" t="s">
        <v>168</v>
      </c>
      <c r="AD130" s="230">
        <v>3.9602100954368566</v>
      </c>
      <c r="AE130" s="219"/>
      <c r="AF130" s="219"/>
      <c r="AG130" s="219"/>
      <c r="AH130" s="219"/>
      <c r="AI130" s="219"/>
      <c r="AJ130" s="219"/>
      <c r="AK130" s="219"/>
      <c r="AL130" s="219"/>
      <c r="AM130" s="219"/>
    </row>
    <row r="131" spans="2:39" ht="3.75" customHeight="1">
      <c r="B131" s="72"/>
      <c r="C131" s="72"/>
      <c r="D131" s="70"/>
      <c r="E131" s="70"/>
      <c r="F131" s="70"/>
      <c r="H131" s="42"/>
      <c r="I131" s="67"/>
      <c r="J131" s="42"/>
      <c r="K131" s="68"/>
      <c r="L131" s="42"/>
      <c r="M131" s="42"/>
      <c r="N131" s="163"/>
      <c r="O131" s="71"/>
      <c r="P131" s="71"/>
      <c r="Q131" s="71"/>
      <c r="AC131" s="231" t="s">
        <v>5</v>
      </c>
      <c r="AD131" s="230">
        <v>3.4033564609073799</v>
      </c>
      <c r="AE131" s="219"/>
      <c r="AF131" s="219"/>
      <c r="AG131" s="219"/>
      <c r="AH131" s="219"/>
      <c r="AI131" s="219"/>
      <c r="AJ131" s="219"/>
      <c r="AK131" s="219"/>
      <c r="AL131" s="219"/>
      <c r="AM131" s="219"/>
    </row>
    <row r="132" spans="2:39" ht="13.9" customHeight="1">
      <c r="B132" s="382" t="s">
        <v>147</v>
      </c>
      <c r="C132" s="382"/>
      <c r="D132" s="42" t="s">
        <v>18</v>
      </c>
      <c r="F132" s="201">
        <f>IF(F18="","",F18)</f>
        <v>10</v>
      </c>
      <c r="H132" s="42"/>
      <c r="I132" s="67"/>
      <c r="J132" s="42"/>
      <c r="K132" s="68"/>
      <c r="L132" s="44"/>
      <c r="M132" s="42"/>
      <c r="N132" s="167">
        <f ca="1">IF(compmean=1,3.42,3.69)</f>
        <v>3.69</v>
      </c>
      <c r="O132" s="168"/>
      <c r="P132" s="169">
        <f>IF(N132="","",($F132-K$113))</f>
        <v>-1.5333333333333332</v>
      </c>
      <c r="Q132" s="201" t="str">
        <f t="shared" si="9"/>
        <v/>
      </c>
      <c r="W132" s="218">
        <f t="shared" si="6"/>
        <v>0</v>
      </c>
      <c r="X132" s="218">
        <f t="shared" si="7"/>
        <v>-1</v>
      </c>
      <c r="AA132" s="218">
        <f t="shared" si="8"/>
        <v>0</v>
      </c>
      <c r="AC132" s="219"/>
      <c r="AD132" s="219"/>
      <c r="AE132" s="219"/>
      <c r="AF132" s="219"/>
      <c r="AG132" s="219"/>
      <c r="AH132" s="219"/>
      <c r="AI132" s="219"/>
      <c r="AJ132" s="219"/>
      <c r="AK132" s="219"/>
      <c r="AL132" s="219"/>
      <c r="AM132" s="219"/>
    </row>
    <row r="133" spans="2:39" ht="13.9" customHeight="1">
      <c r="B133" s="382"/>
      <c r="C133" s="382"/>
      <c r="D133" s="42" t="s">
        <v>112</v>
      </c>
      <c r="F133" s="201">
        <f>IF(F21="","",F21)</f>
        <v>5</v>
      </c>
      <c r="H133" s="42"/>
      <c r="I133" s="44"/>
      <c r="J133" s="44"/>
      <c r="K133" s="44"/>
      <c r="L133" s="44"/>
      <c r="M133" s="42"/>
      <c r="N133" s="167">
        <f ca="1">IF(compmean=1,2.97,3.2)</f>
        <v>3.2</v>
      </c>
      <c r="O133" s="168"/>
      <c r="P133" s="169">
        <f>IF(N133="","",($F133-K$113))</f>
        <v>-6.5333333333333332</v>
      </c>
      <c r="Q133" s="201" t="str">
        <f t="shared" si="9"/>
        <v>w</v>
      </c>
      <c r="W133" s="218">
        <f t="shared" si="6"/>
        <v>3</v>
      </c>
      <c r="X133" s="218">
        <f t="shared" si="7"/>
        <v>-1</v>
      </c>
      <c r="AA133" s="218">
        <f>SUM(AA117:AA123)</f>
        <v>2</v>
      </c>
      <c r="AC133" s="219"/>
      <c r="AD133" s="219"/>
      <c r="AE133" s="219"/>
      <c r="AF133" s="219"/>
      <c r="AG133" s="219"/>
      <c r="AH133" s="219"/>
      <c r="AI133" s="219"/>
      <c r="AJ133" s="219"/>
      <c r="AK133" s="219"/>
      <c r="AL133" s="219"/>
      <c r="AM133" s="219"/>
    </row>
    <row r="134" spans="2:39" ht="13.9" customHeight="1">
      <c r="B134" s="382"/>
      <c r="C134" s="382"/>
      <c r="D134" s="164" t="s">
        <v>168</v>
      </c>
      <c r="F134" s="201">
        <f>IF(F25="","",F25)</f>
        <v>7</v>
      </c>
      <c r="H134" s="42"/>
      <c r="I134" s="44"/>
      <c r="J134" s="44"/>
      <c r="K134" s="44"/>
      <c r="L134" s="44"/>
      <c r="M134" s="42"/>
      <c r="N134" s="167">
        <f>IF(OR(F134="",T113=1),"",IF($AI$47&lt;7,"",3.96))</f>
        <v>3.96</v>
      </c>
      <c r="O134" s="168"/>
      <c r="P134" s="169">
        <f>IF(OR(F134="",T113=1),"",($F134-K$113))</f>
        <v>-4.5333333333333332</v>
      </c>
      <c r="Q134" s="201" t="str">
        <f>IF(OR(F134="",T113=1),"",IF(SUM(W134+X134)=4,"s",IF(SUM(W134+X134)=2,"w","")))</f>
        <v>w</v>
      </c>
      <c r="W134" s="218">
        <f t="shared" si="6"/>
        <v>3</v>
      </c>
      <c r="X134" s="218">
        <f t="shared" si="7"/>
        <v>-1</v>
      </c>
      <c r="AC134" s="219"/>
      <c r="AD134" s="219"/>
      <c r="AE134" s="219"/>
      <c r="AF134" s="219"/>
      <c r="AG134" s="219"/>
      <c r="AH134" s="219"/>
      <c r="AI134" s="219"/>
      <c r="AJ134" s="219"/>
      <c r="AK134" s="219"/>
      <c r="AL134" s="219"/>
      <c r="AM134" s="219"/>
    </row>
    <row r="135" spans="2:39" ht="4.5" customHeight="1">
      <c r="D135" s="42"/>
      <c r="E135" s="42"/>
      <c r="F135" s="42"/>
      <c r="G135" s="42"/>
      <c r="H135" s="42"/>
      <c r="I135" s="42"/>
      <c r="J135" s="42"/>
      <c r="K135" s="42"/>
      <c r="L135" s="42"/>
      <c r="M135" s="42"/>
      <c r="N135" s="42"/>
      <c r="O135" s="42"/>
      <c r="P135" s="42"/>
      <c r="Q135" s="42"/>
      <c r="R135" s="152"/>
      <c r="AA135" s="218">
        <f>SUM(AA124:AA132)</f>
        <v>2</v>
      </c>
      <c r="AC135" s="219" t="s">
        <v>50</v>
      </c>
      <c r="AD135" s="219" t="s">
        <v>51</v>
      </c>
      <c r="AE135" s="219" t="s">
        <v>29</v>
      </c>
      <c r="AF135" s="219" t="s">
        <v>30</v>
      </c>
      <c r="AG135" s="219" t="s">
        <v>33</v>
      </c>
      <c r="AH135" s="219" t="s">
        <v>31</v>
      </c>
      <c r="AI135" s="219" t="s">
        <v>52</v>
      </c>
      <c r="AJ135" s="219" t="s">
        <v>53</v>
      </c>
      <c r="AK135" s="219" t="s">
        <v>54</v>
      </c>
      <c r="AL135" s="219" t="s">
        <v>55</v>
      </c>
      <c r="AM135" s="219" t="s">
        <v>56</v>
      </c>
    </row>
    <row r="136" spans="2:39" ht="14.25" customHeight="1">
      <c r="B136" s="380" t="s">
        <v>440</v>
      </c>
      <c r="C136" s="380"/>
      <c r="D136" s="380"/>
      <c r="E136" s="380"/>
      <c r="F136" s="380"/>
      <c r="G136" s="380"/>
      <c r="H136" s="380"/>
      <c r="I136" s="380"/>
      <c r="J136" s="380"/>
      <c r="K136" s="380"/>
      <c r="L136" s="380"/>
      <c r="M136" s="380"/>
      <c r="N136" s="380"/>
      <c r="O136" s="380"/>
      <c r="P136" s="380"/>
      <c r="Q136" s="380"/>
      <c r="R136" s="153"/>
      <c r="S136" s="223"/>
      <c r="T136" s="224"/>
      <c r="U136" s="223"/>
      <c r="V136" s="223"/>
      <c r="W136" s="223"/>
    </row>
    <row r="137" spans="2:39" ht="4.5" customHeight="1">
      <c r="B137" s="44"/>
      <c r="C137" s="44"/>
      <c r="D137" s="44"/>
      <c r="E137" s="44"/>
      <c r="F137" s="44"/>
      <c r="G137" s="44"/>
      <c r="H137" s="44"/>
      <c r="I137" s="44"/>
      <c r="J137" s="44"/>
      <c r="K137" s="44"/>
      <c r="L137" s="44"/>
      <c r="M137" s="44"/>
      <c r="N137" s="44"/>
      <c r="O137" s="44"/>
      <c r="P137" s="44"/>
      <c r="Q137" s="44"/>
      <c r="R137" s="153"/>
      <c r="S137" s="223"/>
      <c r="T137" s="224"/>
      <c r="U137" s="223"/>
      <c r="V137" s="223"/>
      <c r="W137" s="223"/>
    </row>
    <row r="138" spans="2:39" ht="12">
      <c r="B138" s="44"/>
      <c r="C138" s="42" t="str">
        <f ca="1">"Matrix Reasoning ("&amp;MR&amp;") "&amp;V138&amp;"  Block Design ("&amp;bd&amp;")"</f>
        <v>Matrix Reasoning (16) &gt;  Block Design (10)</v>
      </c>
      <c r="E138" s="44"/>
      <c r="F138" s="44"/>
      <c r="G138" s="44"/>
      <c r="J138" s="73"/>
      <c r="K138" s="73" t="str">
        <f>IF(OR(F123="",F122=""),"",W138&amp;" point "&amp;X138&amp;" difference")</f>
        <v>6 point significant difference</v>
      </c>
      <c r="L138" s="73"/>
      <c r="M138" s="42"/>
      <c r="O138" s="44"/>
      <c r="P138" s="44"/>
      <c r="Q138" s="44"/>
      <c r="R138" s="153"/>
      <c r="S138" s="223"/>
      <c r="T138" s="224" t="s">
        <v>185</v>
      </c>
      <c r="U138" s="223">
        <f>IF(F123=F122,1,IF(F123&gt;F122,2,3))</f>
        <v>2</v>
      </c>
      <c r="V138" s="223" t="str">
        <f>CHOOSE(U138,"=","&gt;","&lt;")</f>
        <v>&gt;</v>
      </c>
      <c r="W138" s="223">
        <f>ABS(F122-F123)</f>
        <v>6</v>
      </c>
      <c r="X138" s="223" t="str">
        <f>IF(W138&gt;2,"significant","nonsignificant")</f>
        <v>significant</v>
      </c>
    </row>
    <row r="139" spans="2:39" ht="5.25" customHeight="1"/>
    <row r="140" spans="2:39" ht="12">
      <c r="B140" s="44"/>
      <c r="C140" s="42" t="str">
        <f ca="1">"Matrix Reasoning ("&amp;MR&amp;") "&amp;V140&amp;"  Figure Weights ("&amp;FW&amp;")"</f>
        <v>Matrix Reasoning (16) =  Figure Weights (16)</v>
      </c>
      <c r="E140" s="44"/>
      <c r="F140" s="44"/>
      <c r="G140" s="44"/>
      <c r="J140" s="73"/>
      <c r="K140" s="73" t="str">
        <f>IF(OR(F125="",F124=""),"",W140&amp;" point "&amp;X140&amp;" difference")</f>
        <v>0 point nonsignificant difference</v>
      </c>
      <c r="L140" s="73"/>
      <c r="M140" s="42"/>
      <c r="O140" s="44"/>
      <c r="P140" s="44"/>
      <c r="Q140" s="44"/>
      <c r="R140" s="153"/>
      <c r="S140" s="223"/>
      <c r="T140" s="224" t="s">
        <v>430</v>
      </c>
      <c r="U140" s="223">
        <f>IF(F123=F125,1,IF(F123&gt;F125,2,3))</f>
        <v>1</v>
      </c>
      <c r="V140" s="223" t="str">
        <f>CHOOSE(U140,"=","&gt;","&lt;")</f>
        <v>=</v>
      </c>
      <c r="W140" s="223">
        <f>ABS(F123-F125)</f>
        <v>0</v>
      </c>
      <c r="X140" s="223" t="str">
        <f>IF(W140&gt;2,"significant","nonsignificant")</f>
        <v>nonsignificant</v>
      </c>
    </row>
    <row r="141" spans="2:39" ht="6" customHeight="1"/>
    <row r="142" spans="2:39" ht="12">
      <c r="B142" s="44"/>
      <c r="C142" s="42" t="str">
        <f ca="1">"Block Design ("&amp;bd&amp;") "&amp;V142&amp;"  Visual Puzzles ("&amp;VP&amp;")"</f>
        <v>Block Design (10) &gt;  Visual Puzzles (9)</v>
      </c>
      <c r="E142" s="44"/>
      <c r="F142" s="44"/>
      <c r="G142" s="44"/>
      <c r="J142" s="73"/>
      <c r="K142" s="73" t="str">
        <f>IF(OR(F124="",F122=""),"",W142&amp;" point "&amp;X142&amp;" difference")</f>
        <v>1 point nonsignificant difference</v>
      </c>
      <c r="L142" s="73"/>
      <c r="M142" s="42"/>
      <c r="O142" s="44"/>
      <c r="P142" s="44"/>
      <c r="Q142" s="44"/>
      <c r="R142" s="153"/>
      <c r="S142" s="223"/>
      <c r="T142" s="224" t="s">
        <v>431</v>
      </c>
      <c r="U142" s="223">
        <f>IF(F122=F124,1,IF(F122&gt;F124,2,3))</f>
        <v>2</v>
      </c>
      <c r="V142" s="223" t="str">
        <f>CHOOSE(U142,"=","&gt;","&lt;")</f>
        <v>&gt;</v>
      </c>
      <c r="W142" s="223">
        <f>ABS(F122-F124)</f>
        <v>1</v>
      </c>
      <c r="X142" s="223" t="str">
        <f>IF(W142&gt;2,"significant","nonsignificant")</f>
        <v>nonsignificant</v>
      </c>
    </row>
    <row r="143" spans="2:39" ht="6" customHeight="1"/>
    <row r="144" spans="2:39" ht="9.75" customHeight="1">
      <c r="B144" s="44"/>
      <c r="C144" s="42" t="str">
        <f ca="1">"Information ("&amp;IN&amp;")  "&amp;V144&amp;"  Comprehension ("&amp;COMP&amp;")"</f>
        <v>Information (12)  =  Comprehension (12)</v>
      </c>
      <c r="E144" s="42"/>
      <c r="F144" s="42"/>
      <c r="G144" s="52"/>
      <c r="J144" s="73"/>
      <c r="K144" s="73" t="str">
        <f>IF(OR(F120="",F119=""),"",W144&amp;" point "&amp;X144&amp;" difference")</f>
        <v>0 point nonsignificant difference</v>
      </c>
      <c r="L144" s="73"/>
      <c r="O144" s="44"/>
      <c r="P144" s="44"/>
      <c r="Q144" s="44"/>
      <c r="R144" s="153"/>
      <c r="S144" s="223"/>
      <c r="T144" s="222" t="s">
        <v>184</v>
      </c>
      <c r="U144" s="223">
        <f>IF(F119=F120,1,IF(F119&gt;F120,2,3))</f>
        <v>1</v>
      </c>
      <c r="V144" s="223" t="str">
        <f>CHOOSE(U144,"=","&gt;","&lt;")</f>
        <v>=</v>
      </c>
      <c r="W144" s="223">
        <f>ABS(F120-F119)</f>
        <v>0</v>
      </c>
      <c r="X144" s="223" t="str">
        <f>IF(W144&gt;3,"significant","nonsignificant")</f>
        <v>nonsignificant</v>
      </c>
    </row>
    <row r="145" spans="2:85" ht="5.25" customHeight="1">
      <c r="B145" s="44"/>
      <c r="G145" s="56"/>
      <c r="K145" s="74"/>
      <c r="N145" s="42"/>
      <c r="O145" s="44"/>
      <c r="P145" s="44"/>
      <c r="Q145" s="44"/>
      <c r="R145" s="153"/>
      <c r="S145" s="223"/>
    </row>
    <row r="146" spans="2:85" ht="10.5" customHeight="1">
      <c r="B146" s="44"/>
      <c r="C146" s="42" t="str">
        <f ca="1">"Digit Span ("&amp;DS&amp;")  "&amp;V146&amp;"  Arithmetic ("&amp;AR&amp;")"</f>
        <v>Digit Span (12)  &lt;  Arithmetic (16)</v>
      </c>
      <c r="G146" s="56"/>
      <c r="J146" s="73"/>
      <c r="K146" s="73" t="str">
        <f>IF(OR(F128="",F130=""),"",W146&amp;" point "&amp;X146&amp;" difference")</f>
        <v>1 point nonsignificant difference</v>
      </c>
      <c r="L146" s="44"/>
      <c r="M146" s="44"/>
      <c r="N146" s="44"/>
      <c r="O146" s="44"/>
      <c r="P146" s="44"/>
      <c r="Q146" s="44"/>
      <c r="R146" s="153"/>
      <c r="S146" s="223"/>
      <c r="T146" s="224" t="s">
        <v>186</v>
      </c>
      <c r="U146" s="223">
        <f>IF(F128=F129,1,IF(F128&gt;F129,2,3))</f>
        <v>3</v>
      </c>
      <c r="V146" s="223" t="str">
        <f>CHOOSE(U146,"=","&gt;","&lt;")</f>
        <v>&lt;</v>
      </c>
      <c r="W146" s="223">
        <f>ABS(F128-F130)</f>
        <v>1</v>
      </c>
      <c r="X146" s="223" t="str">
        <f>IF(W146&gt;2,"significant","nonsignificant")</f>
        <v>nonsignificant</v>
      </c>
    </row>
    <row r="147" spans="2:85" ht="6" customHeight="1">
      <c r="B147" s="44"/>
      <c r="E147" s="42"/>
      <c r="F147" s="42"/>
      <c r="G147" s="52"/>
      <c r="K147" s="74"/>
      <c r="O147" s="44"/>
      <c r="P147" s="44"/>
      <c r="Q147" s="44"/>
      <c r="R147" s="153"/>
      <c r="S147" s="223"/>
      <c r="T147" s="223"/>
      <c r="U147" s="223"/>
      <c r="V147" s="223"/>
      <c r="W147" s="223"/>
      <c r="X147" s="223"/>
    </row>
    <row r="148" spans="2:85" ht="9" customHeight="1">
      <c r="B148" s="44"/>
      <c r="C148" s="42" t="str">
        <f ca="1">"Digit Span ("&amp;DS&amp;")  "&amp;V148&amp;"  Letter Number Sequence ("&amp;lns&amp;")"</f>
        <v>Digit Span (12)  &gt;  Letter Number Sequence (11)</v>
      </c>
      <c r="G148" s="52"/>
      <c r="K148" s="3" t="str">
        <f>IF(OR(F128="",F129=""),"",W148&amp;" point "&amp;X148&amp;" difference")</f>
        <v>4 point significant difference</v>
      </c>
      <c r="L148" s="206"/>
      <c r="M148" s="206"/>
      <c r="N148" s="44"/>
      <c r="O148" s="44"/>
      <c r="P148" s="44"/>
      <c r="Q148" s="44"/>
      <c r="R148" s="153"/>
      <c r="S148" s="223"/>
      <c r="T148" s="224" t="s">
        <v>187</v>
      </c>
      <c r="U148" s="223">
        <f>IF(F128=F130,1,IF(F128&gt;F130,2,3))</f>
        <v>2</v>
      </c>
      <c r="V148" s="223" t="str">
        <f>CHOOSE(U148,"=","&gt;","&lt;")</f>
        <v>&gt;</v>
      </c>
      <c r="W148" s="223">
        <f>ABS(F128-F129)</f>
        <v>4</v>
      </c>
      <c r="X148" s="223" t="str">
        <f>IF(W148&gt;2,"significant","nonsignificant")</f>
        <v>significant</v>
      </c>
    </row>
    <row r="149" spans="2:85" ht="6" customHeight="1">
      <c r="B149" s="44"/>
      <c r="C149" s="44"/>
      <c r="E149" s="44"/>
      <c r="F149" s="44"/>
      <c r="G149" s="44"/>
      <c r="K149" s="74"/>
      <c r="L149" s="42"/>
      <c r="M149" s="42"/>
      <c r="N149" s="44"/>
      <c r="O149" s="44"/>
      <c r="P149" s="44"/>
      <c r="Q149" s="44"/>
      <c r="R149" s="153"/>
      <c r="S149" s="223"/>
      <c r="T149" s="223"/>
      <c r="U149" s="223"/>
      <c r="V149" s="223"/>
      <c r="W149" s="223"/>
      <c r="X149" s="223"/>
    </row>
    <row r="150" spans="2:85" ht="9.75" customHeight="1">
      <c r="B150" s="44"/>
      <c r="C150" s="42" t="str">
        <f ca="1">"Arithmetic ("&amp;AR&amp;")   "&amp;V150&amp;"  Letter Number Sequence ("&amp;lns&amp;")"</f>
        <v>Arithmetic (16)   &gt;  Letter Number Sequence (11)</v>
      </c>
      <c r="G150" s="52"/>
      <c r="K150" s="3" t="str">
        <f>IF(OR(F129="",F130=""),"",W150&amp;" point "&amp;X150&amp;" difference")</f>
        <v>5 point significant difference</v>
      </c>
      <c r="L150" s="206"/>
      <c r="M150" s="44"/>
      <c r="N150" s="44"/>
      <c r="O150" s="44"/>
      <c r="P150" s="44"/>
      <c r="Q150" s="44"/>
      <c r="R150" s="153"/>
      <c r="S150" s="223"/>
      <c r="T150" s="224" t="s">
        <v>189</v>
      </c>
      <c r="U150" s="223">
        <f>IF(F129=F130,1,IF(F129&gt;F130,2,3))</f>
        <v>2</v>
      </c>
      <c r="V150" s="223" t="str">
        <f>CHOOSE(U150,"=","&gt;","&lt;")</f>
        <v>&gt;</v>
      </c>
      <c r="W150" s="223">
        <f>ABS(F130-F129)</f>
        <v>5</v>
      </c>
      <c r="X150" s="223" t="str">
        <f>IF(W150&gt;2,"significant","nonsignificant")</f>
        <v>significant</v>
      </c>
    </row>
    <row r="151" spans="2:85" ht="6" customHeight="1">
      <c r="B151" s="44"/>
      <c r="C151" s="42"/>
      <c r="G151" s="52"/>
      <c r="K151" s="3" t="str">
        <f>IF(OR(F129="",F131=""),"",#REF!&amp;" point "&amp;#REF!&amp;" difference")</f>
        <v/>
      </c>
      <c r="L151" s="206"/>
      <c r="M151" s="44"/>
      <c r="N151" s="44"/>
      <c r="O151" s="44"/>
      <c r="P151" s="44"/>
      <c r="Q151" s="44"/>
      <c r="R151" s="153"/>
      <c r="S151" s="223"/>
      <c r="T151" s="224"/>
      <c r="V151" s="223"/>
      <c r="W151" s="223"/>
    </row>
    <row r="152" spans="2:85" ht="9.75" customHeight="1">
      <c r="B152" s="44"/>
      <c r="C152" s="42" t="str">
        <f ca="1">"Coding ("&amp;CD&amp;") "&amp;V152&amp;"  Symbol Search ("&amp;SS&amp;")"</f>
        <v>Coding (5) &lt;  Symbol Search (10)</v>
      </c>
      <c r="G152" s="56"/>
      <c r="J152" s="73"/>
      <c r="K152" s="73" t="str">
        <f>IF(OR(F132="",F133=""),"",W152&amp;" point "&amp;X152&amp;" difference")</f>
        <v>5 point significant difference</v>
      </c>
      <c r="O152" s="44"/>
      <c r="P152" s="44"/>
      <c r="Q152" s="44"/>
      <c r="R152" s="153"/>
      <c r="S152" s="223"/>
      <c r="T152" s="224" t="s">
        <v>183</v>
      </c>
      <c r="U152" s="223">
        <f>IF(F133=F132,1,IF(F133&gt;F132,2,3))</f>
        <v>3</v>
      </c>
      <c r="V152" s="223" t="str">
        <f>CHOOSE(U152,"=","&gt;","&lt;")</f>
        <v>&lt;</v>
      </c>
      <c r="W152" s="223">
        <f>ABS(F132-F133)</f>
        <v>5</v>
      </c>
      <c r="X152" s="223" t="str">
        <f>IF(W152&gt;3,"significant","nonsignificant")</f>
        <v>significant</v>
      </c>
    </row>
    <row r="153" spans="2:85" ht="6" customHeight="1">
      <c r="B153" s="44"/>
      <c r="C153" s="42"/>
      <c r="G153" s="52"/>
      <c r="K153" s="3"/>
      <c r="L153" s="206"/>
      <c r="M153" s="44"/>
      <c r="N153" s="44"/>
      <c r="O153" s="44"/>
      <c r="P153" s="44"/>
      <c r="Q153" s="44"/>
      <c r="R153" s="153"/>
      <c r="S153" s="223"/>
      <c r="T153" s="224"/>
      <c r="U153" s="223"/>
      <c r="V153" s="223"/>
      <c r="W153" s="223"/>
    </row>
    <row r="154" spans="2:85" ht="10.5" customHeight="1">
      <c r="B154" s="44"/>
      <c r="C154" s="42" t="str">
        <f ca="1">"Coding ("&amp;CD&amp;") "&amp;V154&amp;"  Cancellation ("&amp;CA&amp;")"</f>
        <v>Coding (5) &lt;  Cancellation (7)</v>
      </c>
      <c r="G154" s="52"/>
      <c r="K154" s="3" t="str">
        <f>IF(OR(F132="",F134=""),"",W154&amp;" point "&amp;X154&amp;" difference")</f>
        <v>3 point nonsignificant difference</v>
      </c>
      <c r="L154" s="206"/>
      <c r="M154" s="44"/>
      <c r="N154" s="44"/>
      <c r="O154" s="44"/>
      <c r="P154" s="44"/>
      <c r="Q154" s="44"/>
      <c r="R154" s="153"/>
      <c r="S154" s="223"/>
      <c r="T154" s="224" t="s">
        <v>188</v>
      </c>
      <c r="U154" s="223">
        <f>IF(F133=F134,1,IF(F133&gt;F134,2,3))</f>
        <v>3</v>
      </c>
      <c r="V154" s="223" t="str">
        <f>CHOOSE(U154,"=","&gt;","&lt;")</f>
        <v>&lt;</v>
      </c>
      <c r="W154" s="223">
        <f>ABS(F132-F134)</f>
        <v>3</v>
      </c>
      <c r="X154" s="223" t="str">
        <f>IF(W154&gt;3,"significant","nonsignificant")</f>
        <v>nonsignificant</v>
      </c>
    </row>
    <row r="155" spans="2:85" ht="6" customHeight="1">
      <c r="B155" s="44"/>
      <c r="C155" s="42"/>
      <c r="G155" s="52"/>
      <c r="K155" s="3"/>
      <c r="L155" s="206"/>
      <c r="M155" s="44"/>
      <c r="N155" s="44"/>
      <c r="O155" s="44"/>
      <c r="P155" s="44"/>
      <c r="Q155" s="44"/>
      <c r="R155" s="153"/>
      <c r="S155" s="223"/>
      <c r="T155" s="224"/>
      <c r="U155" s="223"/>
      <c r="V155" s="223"/>
      <c r="W155" s="223"/>
      <c r="X155" s="223"/>
    </row>
    <row r="156" spans="2:85" ht="12">
      <c r="B156" s="380" t="s">
        <v>441</v>
      </c>
      <c r="C156" s="380"/>
      <c r="D156" s="380"/>
      <c r="E156" s="380"/>
      <c r="F156" s="380"/>
      <c r="G156" s="380"/>
      <c r="H156" s="380"/>
      <c r="I156" s="380"/>
      <c r="J156" s="380"/>
      <c r="K156" s="380"/>
      <c r="L156" s="380"/>
      <c r="M156" s="380"/>
      <c r="N156" s="380"/>
      <c r="O156" s="380"/>
      <c r="P156" s="380"/>
      <c r="Q156" s="380"/>
      <c r="R156" s="153"/>
      <c r="S156" s="223"/>
      <c r="T156" s="224"/>
      <c r="U156" s="223"/>
      <c r="V156" s="223"/>
      <c r="W156" s="223"/>
    </row>
    <row r="157" spans="2:85" ht="6" customHeight="1">
      <c r="B157" s="44"/>
      <c r="C157" s="44"/>
      <c r="E157" s="44"/>
      <c r="F157" s="44"/>
      <c r="G157" s="44"/>
      <c r="H157" s="44"/>
      <c r="I157" s="44"/>
      <c r="J157" s="44"/>
      <c r="K157" s="44"/>
      <c r="L157" s="44"/>
      <c r="M157" s="44"/>
      <c r="O157" s="44"/>
      <c r="P157" s="44"/>
      <c r="Q157" s="44"/>
      <c r="R157" s="153"/>
      <c r="S157" s="223"/>
      <c r="T157" s="224"/>
      <c r="U157" s="223"/>
      <c r="V157" s="223"/>
      <c r="W157" s="223"/>
    </row>
    <row r="158" spans="2:85" s="42" customFormat="1" ht="16.5" customHeight="1">
      <c r="B158" s="179"/>
      <c r="C158" s="42" t="str">
        <f>"Block Design ("&amp;F12&amp;")  "&amp;V158&amp;"  Block Design No Time Bonus ("&amp;F30&amp;")"</f>
        <v>Block Design (10)  &lt;  Block Design No Time Bonus (14)</v>
      </c>
      <c r="E158" s="179"/>
      <c r="K158" s="180" t="str">
        <f>IF(OR(F12="",F30=""),"",W158&amp;" point "&amp;X158&amp;" difference")</f>
        <v>4 point significant difference</v>
      </c>
      <c r="L158" s="179"/>
      <c r="M158" s="179"/>
      <c r="N158" s="179"/>
      <c r="O158" s="179"/>
      <c r="P158" s="179"/>
      <c r="R158" s="152"/>
      <c r="S158" s="232"/>
      <c r="T158" s="233" t="s">
        <v>320</v>
      </c>
      <c r="U158" s="234">
        <f>IF(F12=F30,1,IF(F12&gt;F30,2,3))</f>
        <v>3</v>
      </c>
      <c r="V158" s="234" t="str">
        <f t="shared" ref="V158:V164" si="10">CHOOSE(U158,"=","&gt;","&lt;")</f>
        <v>&lt;</v>
      </c>
      <c r="W158" s="234">
        <f>ABS(F12-F30)</f>
        <v>4</v>
      </c>
      <c r="X158" s="234" t="str">
        <f>IF(W158&gt;3,"significant","nonsignificant")</f>
        <v>significant</v>
      </c>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5"/>
      <c r="BT158" s="235"/>
      <c r="BU158" s="235"/>
      <c r="BV158" s="235"/>
      <c r="BW158" s="235"/>
      <c r="BX158" s="235"/>
      <c r="BY158" s="235"/>
      <c r="BZ158" s="235"/>
      <c r="CA158" s="235"/>
      <c r="CB158" s="235"/>
      <c r="CC158" s="235"/>
      <c r="CD158" s="235"/>
      <c r="CE158" s="235"/>
      <c r="CF158" s="235"/>
      <c r="CG158" s="235"/>
    </row>
    <row r="159" spans="2:85" s="42" customFormat="1" ht="16.5" customHeight="1">
      <c r="B159" s="179"/>
      <c r="C159" s="42" t="str">
        <f>"Digit Span Forward ("&amp;F31&amp;")  "&amp;V159&amp;"  Digit Span Backward ("&amp;F32&amp;")"</f>
        <v>Digit Span Forward (18)  &gt;  Digit Span Backward (17)</v>
      </c>
      <c r="D159" s="179"/>
      <c r="E159" s="179"/>
      <c r="F159" s="179"/>
      <c r="G159" s="179"/>
      <c r="H159" s="179"/>
      <c r="I159" s="179"/>
      <c r="J159" s="179"/>
      <c r="K159" s="180" t="str">
        <f>IF(OR(F31="",F32=""),"",W159&amp;" point "&amp;X159&amp;" difference")</f>
        <v>1 point nonsignificant difference</v>
      </c>
      <c r="L159" s="179"/>
      <c r="M159" s="179"/>
      <c r="N159" s="179"/>
      <c r="O159" s="179"/>
      <c r="P159" s="179"/>
      <c r="Q159" s="179"/>
      <c r="R159" s="181"/>
      <c r="S159" s="234"/>
      <c r="T159" s="233" t="s">
        <v>190</v>
      </c>
      <c r="U159" s="234">
        <f>IF(F31=F32,1,IF(F31&gt;F32,2,3))</f>
        <v>2</v>
      </c>
      <c r="V159" s="234" t="str">
        <f t="shared" si="10"/>
        <v>&gt;</v>
      </c>
      <c r="W159" s="234">
        <f>ABS(F31-F32)</f>
        <v>1</v>
      </c>
      <c r="X159" s="234" t="str">
        <f>IF(W159&gt;4,"significant","nonsignificant")</f>
        <v>nonsignificant</v>
      </c>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5"/>
      <c r="BT159" s="235"/>
      <c r="BU159" s="235"/>
      <c r="BV159" s="235"/>
      <c r="BW159" s="235"/>
      <c r="BX159" s="235"/>
      <c r="BY159" s="235"/>
      <c r="BZ159" s="235"/>
      <c r="CA159" s="235"/>
      <c r="CB159" s="235"/>
      <c r="CC159" s="235"/>
      <c r="CD159" s="235"/>
      <c r="CE159" s="235"/>
      <c r="CF159" s="235"/>
      <c r="CG159" s="235"/>
    </row>
    <row r="160" spans="2:85" s="42" customFormat="1" ht="16.5" customHeight="1">
      <c r="C160" s="42" t="str">
        <f>"Digit Span Forward ("&amp;F31&amp;")  "&amp;V160&amp;"  Digit Span Sequencing ("&amp;F33&amp;")"</f>
        <v>Digit Span Forward (18)  &gt;  Digit Span Sequencing (13)</v>
      </c>
      <c r="D160" s="179"/>
      <c r="E160" s="179"/>
      <c r="F160" s="179"/>
      <c r="G160" s="179"/>
      <c r="H160" s="179"/>
      <c r="I160" s="179"/>
      <c r="J160" s="179"/>
      <c r="K160" s="180" t="str">
        <f>IF(OR(F32="",F33=""),"",W160&amp;" point "&amp;X160&amp;" difference")</f>
        <v>5 point significant difference</v>
      </c>
      <c r="L160" s="179"/>
      <c r="M160" s="179"/>
      <c r="N160" s="179"/>
      <c r="O160" s="179"/>
      <c r="P160" s="179"/>
      <c r="Q160" s="179"/>
      <c r="R160" s="181"/>
      <c r="S160" s="234"/>
      <c r="T160" s="233" t="s">
        <v>321</v>
      </c>
      <c r="U160" s="234">
        <f>IF(F31=F33,1,IF(F31&gt;F33,2,3))</f>
        <v>2</v>
      </c>
      <c r="V160" s="234" t="str">
        <f t="shared" si="10"/>
        <v>&gt;</v>
      </c>
      <c r="W160" s="234">
        <f>ABS(F31-F33)</f>
        <v>5</v>
      </c>
      <c r="X160" s="234" t="str">
        <f>IF(W160&gt;4,"significant","nonsignificant")</f>
        <v>significant</v>
      </c>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5"/>
      <c r="BT160" s="235"/>
      <c r="BU160" s="235"/>
      <c r="BV160" s="235"/>
      <c r="BW160" s="235"/>
      <c r="BX160" s="235"/>
      <c r="BY160" s="235"/>
      <c r="BZ160" s="235"/>
      <c r="CA160" s="235"/>
      <c r="CB160" s="235"/>
      <c r="CC160" s="235"/>
      <c r="CD160" s="235"/>
      <c r="CE160" s="235"/>
      <c r="CF160" s="235"/>
      <c r="CG160" s="235"/>
    </row>
    <row r="161" spans="2:85" s="42" customFormat="1" ht="16.5" customHeight="1">
      <c r="B161" s="179"/>
      <c r="C161" s="42" t="str">
        <f>"Digit Span Backward ("&amp;F32&amp;")  "&amp;V161&amp;"  Digit Span Sequencing ("&amp;F33&amp;")"</f>
        <v>Digit Span Backward (17)  &gt;  Digit Span Sequencing (13)</v>
      </c>
      <c r="D161" s="179"/>
      <c r="E161" s="179"/>
      <c r="F161" s="179"/>
      <c r="G161" s="179"/>
      <c r="H161" s="179"/>
      <c r="I161" s="179"/>
      <c r="J161" s="179"/>
      <c r="K161" s="180" t="str">
        <f>IF(OR(G35="",G36=""),"",W161&amp;" point "&amp;X161&amp;" difference")</f>
        <v>4 point nonsignificant difference</v>
      </c>
      <c r="L161" s="179"/>
      <c r="M161" s="179"/>
      <c r="N161" s="179"/>
      <c r="O161" s="179"/>
      <c r="P161" s="179"/>
      <c r="Q161" s="179"/>
      <c r="R161" s="181"/>
      <c r="S161" s="234"/>
      <c r="T161" s="233" t="s">
        <v>322</v>
      </c>
      <c r="U161" s="234">
        <f>IF(F32=F33,1,IF(F32&gt;F33,2,3))</f>
        <v>2</v>
      </c>
      <c r="V161" s="234" t="str">
        <f t="shared" si="10"/>
        <v>&gt;</v>
      </c>
      <c r="W161" s="234">
        <f>ABS(F32-F33)</f>
        <v>4</v>
      </c>
      <c r="X161" s="234" t="str">
        <f>IF(W161&gt;4,"significant","nonsignificant")</f>
        <v>nonsignificant</v>
      </c>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5"/>
      <c r="BT161" s="235"/>
      <c r="BU161" s="235"/>
      <c r="BV161" s="235"/>
      <c r="BW161" s="235"/>
      <c r="BX161" s="235"/>
      <c r="BY161" s="235"/>
      <c r="BZ161" s="235"/>
      <c r="CA161" s="235"/>
      <c r="CB161" s="235"/>
      <c r="CC161" s="235"/>
      <c r="CD161" s="235"/>
      <c r="CE161" s="235"/>
      <c r="CF161" s="235"/>
      <c r="CG161" s="235"/>
    </row>
    <row r="162" spans="2:85" s="42" customFormat="1" ht="16.5" customHeight="1">
      <c r="B162" s="179"/>
      <c r="C162" s="42" t="str">
        <f>"Longest Digit Span Forward ("&amp;G34&amp;")  "&amp;V162&amp;"  Longest Span Backward ("&amp;G35&amp;")"</f>
        <v>Longest Digit Span Forward (9)  &gt;  Longest Span Backward (8)</v>
      </c>
      <c r="D162" s="179"/>
      <c r="E162" s="179"/>
      <c r="F162" s="179"/>
      <c r="G162" s="179"/>
      <c r="H162" s="179"/>
      <c r="I162" s="179"/>
      <c r="J162" s="179"/>
      <c r="K162" s="180" t="str">
        <f>IF(OR(G34="",G35=""),"",W162&amp;" point "&amp;X162&amp;" difference")</f>
        <v>1 point nonsignificant difference</v>
      </c>
      <c r="L162" s="179"/>
      <c r="M162" s="179"/>
      <c r="N162" s="179"/>
      <c r="O162" s="179"/>
      <c r="P162" s="179"/>
      <c r="Q162" s="179"/>
      <c r="R162" s="181"/>
      <c r="S162" s="234"/>
      <c r="T162" s="233" t="s">
        <v>191</v>
      </c>
      <c r="U162" s="234">
        <f>IF(G34=G35,1,IF(G34&gt;G35,2,3))</f>
        <v>2</v>
      </c>
      <c r="V162" s="234" t="str">
        <f t="shared" si="10"/>
        <v>&gt;</v>
      </c>
      <c r="W162" s="234">
        <f>ABS(G34-G35)</f>
        <v>1</v>
      </c>
      <c r="X162" s="234" t="str">
        <f>IF(W162&gt;3,"significant","nonsignificant")</f>
        <v>nonsignificant</v>
      </c>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5"/>
      <c r="BT162" s="235"/>
      <c r="BU162" s="235"/>
      <c r="BV162" s="235"/>
      <c r="BW162" s="235"/>
      <c r="BX162" s="235"/>
      <c r="BY162" s="235"/>
      <c r="BZ162" s="235"/>
      <c r="CA162" s="235"/>
      <c r="CB162" s="235"/>
      <c r="CC162" s="235"/>
      <c r="CD162" s="235"/>
      <c r="CE162" s="235"/>
      <c r="CF162" s="235"/>
      <c r="CG162" s="235"/>
    </row>
    <row r="163" spans="2:85" s="42" customFormat="1" ht="16.5" customHeight="1">
      <c r="B163" s="179"/>
      <c r="C163" s="42" t="str">
        <f>"Longest Digit Span Forward ("&amp;G34&amp;")  "&amp;V163&amp;"  Longest Span Sequencing ("&amp;G36&amp;")"</f>
        <v>Longest Digit Span Forward (9)  &gt;  Longest Span Sequencing (7)</v>
      </c>
      <c r="D163" s="179"/>
      <c r="E163" s="179"/>
      <c r="F163" s="179"/>
      <c r="G163" s="179"/>
      <c r="H163" s="179"/>
      <c r="I163" s="179"/>
      <c r="J163" s="179"/>
      <c r="K163" s="180" t="str">
        <f>IF(OR(G34="",G36=""),"",W163&amp;" point "&amp;X163&amp;" difference")</f>
        <v>2 point nonsignificant difference</v>
      </c>
      <c r="L163" s="179"/>
      <c r="M163" s="179"/>
      <c r="N163" s="179"/>
      <c r="O163" s="179"/>
      <c r="P163" s="179"/>
      <c r="Q163" s="179"/>
      <c r="R163" s="181"/>
      <c r="S163" s="234"/>
      <c r="T163" s="233" t="s">
        <v>323</v>
      </c>
      <c r="U163" s="234">
        <f>IF(G34=G36,1,IF(G34&gt;G36,2,3))</f>
        <v>2</v>
      </c>
      <c r="V163" s="234" t="str">
        <f t="shared" si="10"/>
        <v>&gt;</v>
      </c>
      <c r="W163" s="234">
        <f>ABS(G34-G36)</f>
        <v>2</v>
      </c>
      <c r="X163" s="234" t="str">
        <f>IF(W163&gt;3,"significant","nonsignificant")</f>
        <v>nonsignificant</v>
      </c>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5"/>
      <c r="BT163" s="235"/>
      <c r="BU163" s="235"/>
      <c r="BV163" s="235"/>
      <c r="BW163" s="235"/>
      <c r="BX163" s="235"/>
      <c r="BY163" s="235"/>
      <c r="BZ163" s="235"/>
      <c r="CA163" s="235"/>
      <c r="CB163" s="235"/>
      <c r="CC163" s="235"/>
      <c r="CD163" s="235"/>
      <c r="CE163" s="235"/>
      <c r="CF163" s="235"/>
      <c r="CG163" s="235"/>
    </row>
    <row r="164" spans="2:85" s="42" customFormat="1" ht="16.5" customHeight="1">
      <c r="B164" s="179"/>
      <c r="C164" s="42" t="str">
        <f>"Longest Digit Span Backward ("&amp;G35&amp;")  "&amp;V164&amp;"  Longest Span Sequencing ("&amp;G36&amp;")"</f>
        <v>Longest Digit Span Backward (8)  &gt;  Longest Span Sequencing (7)</v>
      </c>
      <c r="D164" s="179"/>
      <c r="E164" s="179"/>
      <c r="F164" s="179"/>
      <c r="G164" s="179"/>
      <c r="H164" s="179"/>
      <c r="I164" s="179"/>
      <c r="J164" s="179"/>
      <c r="K164" s="180" t="str">
        <f>IF(OR(G35="",G36=""),"",W164&amp;" point "&amp;X164&amp;" difference")</f>
        <v>1 point nonsignificant difference</v>
      </c>
      <c r="L164" s="179"/>
      <c r="M164" s="179"/>
      <c r="N164" s="179"/>
      <c r="O164" s="179"/>
      <c r="P164" s="179"/>
      <c r="Q164" s="179"/>
      <c r="R164" s="181"/>
      <c r="S164" s="234"/>
      <c r="T164" s="233" t="s">
        <v>324</v>
      </c>
      <c r="U164" s="234">
        <f>IF(G35=G36,1,IF(G35&gt;G36,2,3))</f>
        <v>2</v>
      </c>
      <c r="V164" s="234" t="str">
        <f t="shared" si="10"/>
        <v>&gt;</v>
      </c>
      <c r="W164" s="234">
        <f>ABS(G35-G36)</f>
        <v>1</v>
      </c>
      <c r="X164" s="234" t="str">
        <f>IF(W164&gt;3,"significant","nonsignificant")</f>
        <v>nonsignificant</v>
      </c>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2"/>
      <c r="BH164" s="232"/>
      <c r="BI164" s="232"/>
      <c r="BJ164" s="232"/>
      <c r="BK164" s="232"/>
      <c r="BL164" s="232"/>
      <c r="BM164" s="232"/>
      <c r="BN164" s="232"/>
      <c r="BO164" s="232"/>
      <c r="BP164" s="232"/>
      <c r="BQ164" s="232"/>
      <c r="BR164" s="232"/>
      <c r="BS164" s="235"/>
      <c r="BT164" s="235"/>
      <c r="BU164" s="235"/>
      <c r="BV164" s="235"/>
      <c r="BW164" s="235"/>
      <c r="BX164" s="235"/>
      <c r="BY164" s="235"/>
      <c r="BZ164" s="235"/>
      <c r="CA164" s="235"/>
      <c r="CB164" s="235"/>
      <c r="CC164" s="235"/>
      <c r="CD164" s="235"/>
      <c r="CE164" s="235"/>
      <c r="CF164" s="235"/>
      <c r="CG164" s="235"/>
    </row>
    <row r="165" spans="2:85" ht="12">
      <c r="B165" s="44"/>
      <c r="C165" s="44"/>
      <c r="D165" s="44"/>
      <c r="E165" s="44"/>
      <c r="F165" s="44"/>
      <c r="G165" s="44"/>
      <c r="H165" s="44"/>
      <c r="I165" s="44"/>
      <c r="J165" s="44"/>
      <c r="K165" s="44"/>
      <c r="L165" s="44"/>
      <c r="M165" s="44"/>
      <c r="N165" s="44"/>
      <c r="O165" s="44"/>
      <c r="P165" s="44"/>
      <c r="Q165" s="44"/>
      <c r="R165" s="153"/>
      <c r="S165" s="223"/>
    </row>
    <row r="166" spans="2:85" ht="12">
      <c r="B166" s="380" t="s">
        <v>442</v>
      </c>
      <c r="C166" s="380"/>
      <c r="D166" s="380"/>
      <c r="E166" s="380"/>
      <c r="F166" s="380"/>
      <c r="G166" s="380"/>
      <c r="H166" s="380"/>
      <c r="I166" s="380"/>
      <c r="J166" s="380"/>
      <c r="K166" s="380"/>
      <c r="L166" s="380"/>
      <c r="M166" s="380"/>
      <c r="N166" s="380"/>
      <c r="O166" s="380"/>
      <c r="P166" s="380"/>
      <c r="Q166" s="380"/>
      <c r="R166" s="153"/>
      <c r="S166" s="223"/>
    </row>
    <row r="167" spans="2:85" ht="12">
      <c r="B167" s="44"/>
      <c r="C167" s="44"/>
      <c r="D167" s="44"/>
      <c r="E167" s="44"/>
      <c r="F167" s="44"/>
      <c r="G167" s="44"/>
      <c r="H167" s="44"/>
      <c r="I167" s="44"/>
      <c r="J167" s="44"/>
      <c r="K167" s="44"/>
      <c r="L167" s="44"/>
      <c r="M167" s="44"/>
      <c r="N167" s="44"/>
      <c r="O167" s="44"/>
      <c r="P167" s="44"/>
      <c r="Q167" s="44"/>
      <c r="R167" s="153"/>
      <c r="S167" s="223"/>
    </row>
    <row r="168" spans="2:85" ht="12">
      <c r="B168" s="380" t="s">
        <v>443</v>
      </c>
      <c r="C168" s="380"/>
      <c r="D168" s="380"/>
      <c r="E168" s="380"/>
      <c r="F168" s="380"/>
      <c r="G168" s="380"/>
      <c r="H168" s="380"/>
      <c r="I168" s="380"/>
      <c r="J168" s="380"/>
      <c r="K168" s="380"/>
      <c r="L168" s="380"/>
      <c r="M168" s="380"/>
      <c r="N168" s="380"/>
      <c r="O168" s="380"/>
      <c r="P168" s="380"/>
      <c r="Q168" s="380"/>
      <c r="R168" s="153"/>
      <c r="S168" s="223"/>
    </row>
    <row r="169" spans="2:85" ht="12" customHeight="1">
      <c r="B169" s="7"/>
      <c r="C169" s="7"/>
      <c r="D169" s="388"/>
      <c r="E169" s="388"/>
      <c r="F169" s="388"/>
      <c r="G169" s="388"/>
      <c r="H169" s="388"/>
      <c r="I169" s="388"/>
      <c r="J169" s="388"/>
      <c r="K169" s="388"/>
      <c r="L169" s="75"/>
      <c r="M169" s="75"/>
      <c r="N169" s="386" t="s">
        <v>258</v>
      </c>
      <c r="O169" s="386"/>
      <c r="P169" s="386" t="s">
        <v>259</v>
      </c>
      <c r="Q169" s="386"/>
      <c r="R169" s="153"/>
      <c r="S169" s="223"/>
      <c r="T169" s="224"/>
      <c r="U169" s="223"/>
      <c r="V169" s="223"/>
      <c r="W169" s="223"/>
    </row>
    <row r="170" spans="2:85" ht="12">
      <c r="B170" s="7"/>
      <c r="C170" s="7"/>
      <c r="D170" s="76"/>
      <c r="E170" s="7"/>
      <c r="F170" s="385" t="s">
        <v>237</v>
      </c>
      <c r="G170" s="385"/>
      <c r="H170" s="385" t="s">
        <v>238</v>
      </c>
      <c r="I170" s="385"/>
      <c r="J170" s="385"/>
      <c r="K170" s="77"/>
      <c r="L170" s="78" t="s">
        <v>2</v>
      </c>
      <c r="M170" s="77"/>
      <c r="N170" s="387"/>
      <c r="O170" s="387"/>
      <c r="P170" s="387"/>
      <c r="Q170" s="387"/>
      <c r="R170" s="153"/>
      <c r="S170" s="223"/>
      <c r="T170" s="224">
        <f>F12</f>
        <v>10</v>
      </c>
      <c r="V170" s="223"/>
      <c r="W170" s="223"/>
    </row>
    <row r="171" spans="2:85" ht="12">
      <c r="B171" s="7"/>
      <c r="C171" s="7"/>
      <c r="D171" s="79" t="s">
        <v>152</v>
      </c>
      <c r="E171" s="7"/>
      <c r="F171" s="7"/>
      <c r="G171" s="7"/>
      <c r="H171" s="7"/>
      <c r="I171" s="7"/>
      <c r="J171" s="7"/>
      <c r="K171" s="7"/>
      <c r="L171" s="7"/>
      <c r="M171" s="7"/>
      <c r="N171" s="7"/>
      <c r="O171" s="7"/>
      <c r="P171" s="7"/>
      <c r="Q171" s="7"/>
      <c r="R171" s="153"/>
      <c r="S171" s="223"/>
      <c r="T171" s="224"/>
      <c r="U171" s="223"/>
      <c r="V171" s="223"/>
    </row>
    <row r="172" spans="2:85" ht="12" customHeight="1">
      <c r="B172" s="7"/>
      <c r="C172" s="7"/>
      <c r="D172" s="80" t="s">
        <v>10</v>
      </c>
      <c r="E172" s="7"/>
      <c r="F172" s="81" t="s">
        <v>239</v>
      </c>
      <c r="G172" s="7"/>
      <c r="H172" s="367" t="s">
        <v>240</v>
      </c>
      <c r="I172" s="367"/>
      <c r="J172" s="367"/>
      <c r="K172" s="367"/>
      <c r="L172" s="82">
        <f ca="1">IF(sim="","",sim)</f>
        <v>16</v>
      </c>
      <c r="M172" s="7"/>
      <c r="N172" s="359" t="s">
        <v>260</v>
      </c>
      <c r="O172" s="359"/>
      <c r="P172" s="359" t="s">
        <v>260</v>
      </c>
      <c r="Q172" s="359"/>
      <c r="R172" s="153"/>
      <c r="S172" s="223"/>
      <c r="T172" s="223"/>
      <c r="U172" s="223"/>
      <c r="V172" s="223"/>
    </row>
    <row r="173" spans="2:85">
      <c r="B173" s="8"/>
      <c r="C173" s="7"/>
      <c r="D173" s="83"/>
      <c r="E173" s="7"/>
      <c r="F173" s="8"/>
      <c r="G173" s="7"/>
      <c r="H173" s="365" t="s">
        <v>241</v>
      </c>
      <c r="I173" s="365"/>
      <c r="J173" s="365"/>
      <c r="K173" s="84"/>
      <c r="L173" s="82"/>
      <c r="M173" s="7"/>
      <c r="N173" s="7"/>
      <c r="O173" s="7"/>
      <c r="P173" s="8"/>
      <c r="Q173" s="7"/>
    </row>
    <row r="174" spans="2:85" ht="4.5" customHeight="1">
      <c r="B174" s="8"/>
      <c r="C174" s="7"/>
      <c r="D174" s="83"/>
      <c r="E174" s="7"/>
      <c r="F174" s="8"/>
      <c r="G174" s="199"/>
      <c r="H174" s="84"/>
      <c r="I174" s="84"/>
      <c r="J174" s="84"/>
      <c r="K174" s="84"/>
      <c r="L174" s="82"/>
      <c r="M174" s="7"/>
      <c r="N174" s="7"/>
      <c r="O174" s="7"/>
      <c r="P174" s="8"/>
      <c r="Q174" s="7"/>
    </row>
    <row r="175" spans="2:85" ht="12" customHeight="1">
      <c r="B175" s="8"/>
      <c r="C175" s="7"/>
      <c r="D175" s="80" t="s">
        <v>9</v>
      </c>
      <c r="E175" s="7"/>
      <c r="F175" s="85" t="s">
        <v>239</v>
      </c>
      <c r="G175" s="7"/>
      <c r="H175" s="367" t="s">
        <v>240</v>
      </c>
      <c r="I175" s="367"/>
      <c r="J175" s="367"/>
      <c r="K175" s="367"/>
      <c r="L175" s="82">
        <f ca="1">IF(VOC="","",VOC)</f>
        <v>11</v>
      </c>
      <c r="M175" s="7"/>
      <c r="N175" s="359" t="s">
        <v>260</v>
      </c>
      <c r="O175" s="359"/>
      <c r="P175" s="359" t="s">
        <v>260</v>
      </c>
      <c r="Q175" s="359"/>
    </row>
    <row r="176" spans="2:85">
      <c r="B176" s="8"/>
      <c r="C176" s="7"/>
      <c r="D176" s="80"/>
      <c r="E176" s="7"/>
      <c r="F176" s="85"/>
      <c r="G176" s="7"/>
      <c r="H176" s="365" t="s">
        <v>241</v>
      </c>
      <c r="I176" s="365"/>
      <c r="J176" s="365"/>
      <c r="K176" s="84"/>
      <c r="L176" s="82"/>
      <c r="M176" s="7"/>
      <c r="N176" s="7"/>
      <c r="O176" s="7"/>
      <c r="P176" s="8"/>
      <c r="Q176" s="7"/>
    </row>
    <row r="177" spans="2:31" ht="3" customHeight="1">
      <c r="B177" s="8"/>
      <c r="C177" s="7"/>
      <c r="D177" s="80"/>
      <c r="E177" s="7"/>
      <c r="F177" s="85"/>
      <c r="G177" s="7"/>
      <c r="H177" s="199"/>
      <c r="I177" s="199"/>
      <c r="J177" s="199"/>
      <c r="K177" s="84"/>
      <c r="L177" s="82"/>
      <c r="M177" s="7"/>
      <c r="N177" s="7"/>
      <c r="O177" s="7"/>
      <c r="P177" s="8"/>
      <c r="Q177" s="7"/>
    </row>
    <row r="178" spans="2:31" ht="11.25" customHeight="1">
      <c r="B178" s="8"/>
      <c r="C178" s="7"/>
      <c r="D178" s="80" t="s">
        <v>15</v>
      </c>
      <c r="E178" s="7"/>
      <c r="F178" s="85" t="s">
        <v>239</v>
      </c>
      <c r="G178" s="7"/>
      <c r="H178" s="366" t="s">
        <v>242</v>
      </c>
      <c r="I178" s="366"/>
      <c r="J178" s="366"/>
      <c r="K178" s="84"/>
      <c r="L178" s="82">
        <f ca="1">IF(IN="","",IN)</f>
        <v>12</v>
      </c>
      <c r="M178" s="7"/>
      <c r="N178" s="359" t="s">
        <v>260</v>
      </c>
      <c r="O178" s="359"/>
      <c r="P178" s="359" t="s">
        <v>260</v>
      </c>
      <c r="Q178" s="359"/>
    </row>
    <row r="179" spans="2:31" ht="4.5" customHeight="1">
      <c r="B179" s="8"/>
      <c r="C179" s="7"/>
      <c r="D179" s="80"/>
      <c r="E179" s="7"/>
      <c r="F179" s="85"/>
      <c r="G179" s="7"/>
      <c r="H179" s="8"/>
      <c r="I179" s="8"/>
      <c r="J179" s="8"/>
      <c r="K179" s="84"/>
      <c r="L179" s="82"/>
      <c r="M179" s="7"/>
      <c r="N179" s="82"/>
      <c r="O179" s="82"/>
      <c r="P179" s="82"/>
      <c r="Q179" s="82"/>
    </row>
    <row r="180" spans="2:31" ht="12" customHeight="1">
      <c r="B180" s="7"/>
      <c r="C180" s="7"/>
      <c r="D180" s="80" t="s">
        <v>17</v>
      </c>
      <c r="E180" s="7"/>
      <c r="F180" s="85" t="s">
        <v>239</v>
      </c>
      <c r="G180" s="7"/>
      <c r="H180" s="367" t="s">
        <v>240</v>
      </c>
      <c r="I180" s="367"/>
      <c r="J180" s="367"/>
      <c r="K180" s="367"/>
      <c r="L180" s="82">
        <f ca="1">IF(COMP="","",COMP)</f>
        <v>12</v>
      </c>
      <c r="M180" s="7"/>
      <c r="N180" s="359" t="s">
        <v>260</v>
      </c>
      <c r="O180" s="359"/>
      <c r="P180" s="359" t="s">
        <v>260</v>
      </c>
      <c r="Q180" s="359"/>
    </row>
    <row r="181" spans="2:31">
      <c r="B181" s="7"/>
      <c r="C181" s="7"/>
      <c r="D181" s="80"/>
      <c r="E181" s="7"/>
      <c r="F181" s="85"/>
      <c r="G181" s="7"/>
      <c r="H181" s="366" t="s">
        <v>242</v>
      </c>
      <c r="I181" s="366"/>
      <c r="J181" s="366"/>
      <c r="K181" s="84"/>
      <c r="L181" s="82"/>
      <c r="M181" s="7"/>
      <c r="N181" s="7"/>
      <c r="O181" s="7"/>
      <c r="P181" s="8"/>
      <c r="Q181" s="7"/>
    </row>
    <row r="182" spans="2:31" ht="4.5" customHeight="1">
      <c r="B182" s="7"/>
      <c r="C182" s="7"/>
      <c r="D182" s="80"/>
      <c r="E182" s="7"/>
      <c r="F182" s="85"/>
      <c r="G182" s="7"/>
      <c r="H182" s="8"/>
      <c r="I182" s="84"/>
      <c r="J182" s="84"/>
      <c r="K182" s="84"/>
      <c r="L182" s="82"/>
      <c r="M182" s="7"/>
      <c r="N182" s="7"/>
      <c r="O182" s="7"/>
      <c r="P182" s="8"/>
      <c r="Q182" s="7"/>
    </row>
    <row r="183" spans="2:31" ht="4.5" customHeight="1">
      <c r="B183" s="8"/>
      <c r="C183" s="7"/>
      <c r="D183" s="80"/>
      <c r="E183" s="7"/>
      <c r="F183" s="85"/>
      <c r="G183" s="7"/>
      <c r="H183" s="8"/>
      <c r="I183" s="84"/>
      <c r="J183" s="8"/>
      <c r="K183" s="8"/>
      <c r="L183" s="82"/>
      <c r="M183" s="7"/>
      <c r="N183" s="8"/>
      <c r="O183" s="8"/>
      <c r="P183" s="8"/>
      <c r="Q183" s="7"/>
    </row>
    <row r="184" spans="2:31">
      <c r="B184" s="8"/>
      <c r="C184" s="7"/>
      <c r="D184" s="79" t="s">
        <v>151</v>
      </c>
      <c r="E184" s="7"/>
      <c r="F184" s="85"/>
      <c r="G184" s="7"/>
      <c r="H184" s="365"/>
      <c r="I184" s="365"/>
      <c r="J184" s="365"/>
      <c r="K184" s="84"/>
      <c r="L184" s="82"/>
      <c r="M184" s="7"/>
      <c r="N184" s="359"/>
      <c r="O184" s="359"/>
      <c r="P184" s="359"/>
      <c r="Q184" s="359"/>
      <c r="AC184" s="219">
        <f>IF(ABS(L184)&gt;8,3,0)</f>
        <v>0</v>
      </c>
      <c r="AE184" s="219">
        <f>SIGN(L184)</f>
        <v>0</v>
      </c>
    </row>
    <row r="185" spans="2:31" ht="3" customHeight="1">
      <c r="B185" s="8"/>
      <c r="C185" s="7"/>
      <c r="D185" s="8"/>
      <c r="E185" s="7"/>
      <c r="F185" s="8"/>
      <c r="G185" s="7"/>
      <c r="H185" s="366"/>
      <c r="I185" s="366"/>
      <c r="J185" s="366"/>
      <c r="K185" s="84"/>
      <c r="L185" s="82"/>
      <c r="M185" s="7"/>
      <c r="N185" s="7"/>
      <c r="O185" s="7"/>
      <c r="P185" s="8"/>
      <c r="Q185" s="7"/>
      <c r="AC185" s="219">
        <f>IF(ABS(L185)&gt;10,3,0)</f>
        <v>0</v>
      </c>
      <c r="AE185" s="219">
        <f>SIGN(L185)</f>
        <v>0</v>
      </c>
    </row>
    <row r="186" spans="2:31" ht="13.5" customHeight="1">
      <c r="B186" s="8"/>
      <c r="C186" s="7"/>
      <c r="D186" s="80" t="s">
        <v>11</v>
      </c>
      <c r="E186" s="7"/>
      <c r="F186" s="85" t="s">
        <v>243</v>
      </c>
      <c r="G186" s="7"/>
      <c r="H186" s="365" t="s">
        <v>244</v>
      </c>
      <c r="I186" s="365"/>
      <c r="J186" s="365"/>
      <c r="K186" s="84"/>
      <c r="L186" s="82">
        <f ca="1">IF(bd="","",bd)</f>
        <v>10</v>
      </c>
      <c r="M186" s="7"/>
      <c r="N186" s="359" t="s">
        <v>261</v>
      </c>
      <c r="O186" s="359"/>
      <c r="P186" s="359" t="s">
        <v>262</v>
      </c>
      <c r="Q186" s="359"/>
      <c r="AC186" s="219" t="e">
        <f>IF(ABS(#REF!)&gt;10,3,0)</f>
        <v>#REF!</v>
      </c>
      <c r="AE186" s="219" t="e">
        <f>SIGN(#REF!)</f>
        <v>#REF!</v>
      </c>
    </row>
    <row r="187" spans="2:31">
      <c r="B187" s="8"/>
      <c r="C187" s="7"/>
      <c r="D187" s="83"/>
      <c r="E187" s="7"/>
      <c r="F187" s="8"/>
      <c r="G187" s="7"/>
      <c r="H187" s="365" t="s">
        <v>245</v>
      </c>
      <c r="I187" s="365"/>
      <c r="J187" s="365"/>
      <c r="K187" s="84"/>
      <c r="L187" s="82"/>
      <c r="M187" s="7"/>
      <c r="N187" s="7"/>
      <c r="O187" s="7"/>
      <c r="P187" s="8"/>
      <c r="Q187" s="7"/>
    </row>
    <row r="188" spans="2:31" ht="3.75" customHeight="1">
      <c r="B188" s="8"/>
      <c r="C188" s="7"/>
      <c r="AC188" s="219">
        <f>IF(ABS(M70)&gt;9,3,0)</f>
        <v>0</v>
      </c>
      <c r="AE188" s="219">
        <f>SIGN(M70)</f>
        <v>0</v>
      </c>
    </row>
    <row r="189" spans="2:31">
      <c r="B189" s="8"/>
      <c r="C189" s="7"/>
      <c r="D189" s="80" t="s">
        <v>13</v>
      </c>
      <c r="E189" s="7"/>
      <c r="F189" s="85" t="s">
        <v>246</v>
      </c>
      <c r="G189" s="7"/>
      <c r="H189" s="365" t="s">
        <v>247</v>
      </c>
      <c r="I189" s="365"/>
      <c r="J189" s="365"/>
      <c r="K189" s="84"/>
      <c r="L189" s="82">
        <f ca="1">IF(MR="","",MR)</f>
        <v>16</v>
      </c>
      <c r="M189" s="7"/>
      <c r="N189" s="359" t="s">
        <v>262</v>
      </c>
      <c r="O189" s="359"/>
      <c r="P189" s="359" t="s">
        <v>262</v>
      </c>
      <c r="Q189" s="359"/>
      <c r="AC189" s="219">
        <f>IF(ABS(M71)&gt;10,3,0)</f>
        <v>0</v>
      </c>
      <c r="AE189" s="219">
        <f>SIGN(M71)</f>
        <v>0</v>
      </c>
    </row>
    <row r="190" spans="2:31" ht="4.5" customHeight="1">
      <c r="B190" s="8"/>
      <c r="C190" s="7"/>
      <c r="D190" s="83"/>
      <c r="E190" s="7"/>
      <c r="F190" s="8"/>
      <c r="G190" s="7"/>
      <c r="H190" s="199"/>
      <c r="I190" s="84"/>
      <c r="J190" s="84"/>
      <c r="K190" s="84"/>
      <c r="L190" s="82"/>
      <c r="M190" s="7"/>
      <c r="N190" s="7"/>
      <c r="O190" s="7"/>
      <c r="P190" s="8"/>
      <c r="Q190" s="7"/>
      <c r="AC190" s="219">
        <f>IF(ABS(M72)&gt;10,3,0)</f>
        <v>0</v>
      </c>
      <c r="AE190" s="219">
        <f>SIGN(M72)</f>
        <v>0</v>
      </c>
    </row>
    <row r="191" spans="2:31" ht="12">
      <c r="B191" s="7"/>
      <c r="C191" s="7"/>
      <c r="D191" s="80" t="s">
        <v>311</v>
      </c>
      <c r="E191" s="7"/>
      <c r="F191" s="85" t="s">
        <v>243</v>
      </c>
      <c r="G191" s="7"/>
      <c r="H191" s="366" t="s">
        <v>325</v>
      </c>
      <c r="I191" s="366"/>
      <c r="J191" s="366"/>
      <c r="K191" s="84"/>
      <c r="L191" s="82">
        <f ca="1">IF(VP="","",VP)</f>
        <v>9</v>
      </c>
      <c r="M191" s="7"/>
      <c r="N191" s="359" t="s">
        <v>261</v>
      </c>
      <c r="O191" s="359"/>
      <c r="P191" s="359" t="s">
        <v>261</v>
      </c>
      <c r="Q191" s="359"/>
      <c r="R191" s="153"/>
      <c r="S191" s="223"/>
      <c r="T191" s="223"/>
      <c r="U191" s="223"/>
      <c r="AC191" s="219">
        <f>IF(ABS(L191)&gt;8,3,0)</f>
        <v>3</v>
      </c>
      <c r="AE191" s="219">
        <f>SIGN(L191)</f>
        <v>1</v>
      </c>
    </row>
    <row r="192" spans="2:31" ht="3.75" customHeight="1">
      <c r="B192" s="7"/>
      <c r="C192" s="7"/>
      <c r="D192" s="80"/>
      <c r="E192" s="7"/>
      <c r="F192" s="85"/>
      <c r="G192" s="7"/>
      <c r="H192" s="365"/>
      <c r="I192" s="365"/>
      <c r="J192" s="365"/>
      <c r="K192" s="84"/>
      <c r="L192" s="82"/>
      <c r="M192" s="7"/>
      <c r="N192" s="7"/>
      <c r="O192" s="7"/>
      <c r="P192" s="7"/>
      <c r="Q192" s="7"/>
      <c r="R192" s="153"/>
      <c r="S192" s="223"/>
      <c r="T192" s="223"/>
      <c r="U192" s="223"/>
    </row>
    <row r="193" spans="2:31" ht="12.75" customHeight="1">
      <c r="B193" s="7"/>
      <c r="C193" s="7"/>
      <c r="D193" s="80" t="s">
        <v>312</v>
      </c>
      <c r="E193" s="7"/>
      <c r="F193" s="85" t="s">
        <v>246</v>
      </c>
      <c r="G193" s="7"/>
      <c r="H193" s="8" t="s">
        <v>253</v>
      </c>
      <c r="I193" s="8"/>
      <c r="J193" s="8"/>
      <c r="K193" s="84"/>
      <c r="L193" s="82">
        <f ca="1">IF(FW="","",FW)</f>
        <v>16</v>
      </c>
      <c r="M193" s="7"/>
      <c r="N193" s="359" t="s">
        <v>261</v>
      </c>
      <c r="O193" s="359"/>
      <c r="P193" s="359" t="s">
        <v>261</v>
      </c>
      <c r="Q193" s="359"/>
      <c r="R193" s="153"/>
      <c r="S193" s="223"/>
      <c r="T193" s="223"/>
      <c r="U193" s="223"/>
      <c r="AC193" s="219">
        <f>IF(ABS(L193)&gt;8,3,0)</f>
        <v>3</v>
      </c>
      <c r="AE193" s="219">
        <f>SIGN(L193)</f>
        <v>1</v>
      </c>
    </row>
    <row r="194" spans="2:31" ht="4.5" customHeight="1">
      <c r="B194" s="7"/>
      <c r="C194" s="7"/>
      <c r="R194" s="153"/>
      <c r="S194" s="223"/>
      <c r="T194" s="223"/>
      <c r="U194" s="223"/>
      <c r="AC194" s="219">
        <f>IF(ABS(L189)&gt;7,3,0)</f>
        <v>3</v>
      </c>
      <c r="AE194" s="219">
        <f>SIGN(L189)</f>
        <v>1</v>
      </c>
    </row>
    <row r="195" spans="2:31" ht="12" customHeight="1">
      <c r="B195" s="7"/>
      <c r="C195" s="7"/>
      <c r="D195" s="80" t="s">
        <v>5</v>
      </c>
      <c r="E195" s="7"/>
      <c r="F195" s="85" t="s">
        <v>243</v>
      </c>
      <c r="G195" s="7"/>
      <c r="H195" s="369" t="s">
        <v>248</v>
      </c>
      <c r="I195" s="369"/>
      <c r="J195" s="369"/>
      <c r="K195" s="369"/>
      <c r="L195" s="82">
        <f ca="1">IF(PCm="","",PCm)</f>
        <v>10</v>
      </c>
      <c r="M195" s="7"/>
      <c r="N195" s="359" t="s">
        <v>262</v>
      </c>
      <c r="O195" s="359"/>
      <c r="P195" s="359" t="s">
        <v>260</v>
      </c>
      <c r="Q195" s="359"/>
      <c r="R195" s="153"/>
      <c r="S195" s="223"/>
      <c r="T195" s="223"/>
      <c r="U195" s="223"/>
      <c r="AC195" s="219" t="e">
        <f>IF(ABS(#REF!)&gt;8,3,0)</f>
        <v>#REF!</v>
      </c>
      <c r="AE195" s="219" t="e">
        <f>SIGN(#REF!)</f>
        <v>#REF!</v>
      </c>
    </row>
    <row r="196" spans="2:31" ht="12" customHeight="1">
      <c r="B196" s="7"/>
      <c r="C196" s="7"/>
      <c r="D196" s="80"/>
      <c r="E196" s="7"/>
      <c r="F196" s="85" t="s">
        <v>239</v>
      </c>
      <c r="G196" s="7"/>
      <c r="H196" s="366" t="s">
        <v>242</v>
      </c>
      <c r="I196" s="366"/>
      <c r="J196" s="366"/>
      <c r="K196" s="199"/>
      <c r="L196" s="82"/>
      <c r="M196" s="7"/>
      <c r="N196" s="7"/>
      <c r="O196" s="7"/>
      <c r="P196" s="7"/>
      <c r="Q196" s="7"/>
      <c r="R196" s="153"/>
      <c r="S196" s="223"/>
      <c r="T196" s="223"/>
      <c r="U196" s="223"/>
    </row>
    <row r="197" spans="2:31" ht="3.75" customHeight="1">
      <c r="B197" s="7"/>
      <c r="C197" s="7"/>
      <c r="R197" s="153"/>
      <c r="S197" s="223"/>
      <c r="T197" s="223"/>
      <c r="U197" s="223"/>
      <c r="AC197" s="219">
        <f>IF(ABS(I196-I198)&gt;10.5,3,0)</f>
        <v>0</v>
      </c>
      <c r="AE197" s="219">
        <f>SIGN(L196)</f>
        <v>0</v>
      </c>
    </row>
    <row r="198" spans="2:31" ht="12">
      <c r="B198" s="7"/>
      <c r="C198" s="7"/>
      <c r="D198" s="83"/>
      <c r="E198" s="7"/>
      <c r="F198" s="8"/>
      <c r="G198" s="7"/>
      <c r="H198" s="8"/>
      <c r="I198" s="84"/>
      <c r="J198" s="84"/>
      <c r="K198" s="84"/>
      <c r="L198" s="82"/>
      <c r="M198" s="7"/>
      <c r="N198" s="7"/>
      <c r="O198" s="7"/>
      <c r="P198" s="7"/>
      <c r="Q198" s="7"/>
      <c r="R198" s="153"/>
      <c r="S198" s="223"/>
      <c r="T198" s="223"/>
      <c r="U198" s="223"/>
      <c r="AC198" s="219">
        <f>IF(ABS(I196-I198)&gt;10.5,3,0)</f>
        <v>0</v>
      </c>
      <c r="AE198" s="219">
        <f>SIGN(L198)</f>
        <v>0</v>
      </c>
    </row>
    <row r="199" spans="2:31" ht="12">
      <c r="B199" s="7"/>
      <c r="C199" s="7"/>
      <c r="D199" s="79" t="s">
        <v>153</v>
      </c>
      <c r="E199" s="7"/>
      <c r="F199" s="85"/>
      <c r="G199" s="7"/>
      <c r="H199" s="8"/>
      <c r="I199" s="84"/>
      <c r="J199" s="84"/>
      <c r="K199" s="84"/>
      <c r="L199" s="82"/>
      <c r="M199" s="7"/>
      <c r="N199" s="7"/>
      <c r="O199" s="7"/>
      <c r="P199" s="7"/>
      <c r="Q199" s="7"/>
      <c r="R199" s="153"/>
      <c r="S199" s="223"/>
      <c r="T199" s="223"/>
      <c r="U199" s="223"/>
    </row>
    <row r="200" spans="2:31" ht="15" customHeight="1">
      <c r="B200" s="7"/>
      <c r="C200" s="7"/>
      <c r="D200" s="80" t="s">
        <v>165</v>
      </c>
      <c r="E200" s="7"/>
      <c r="F200" s="85" t="s">
        <v>249</v>
      </c>
      <c r="G200" s="7"/>
      <c r="H200" s="366" t="s">
        <v>250</v>
      </c>
      <c r="I200" s="366"/>
      <c r="J200" s="366"/>
      <c r="K200" s="84"/>
      <c r="L200" s="82">
        <f ca="1">IF(DS="","",DS)</f>
        <v>12</v>
      </c>
      <c r="M200" s="7"/>
      <c r="N200" s="359" t="s">
        <v>261</v>
      </c>
      <c r="O200" s="359"/>
      <c r="P200" s="359" t="s">
        <v>262</v>
      </c>
      <c r="Q200" s="359"/>
      <c r="R200" s="153"/>
      <c r="S200" s="223"/>
      <c r="T200" s="223"/>
      <c r="U200" s="223"/>
      <c r="AC200" s="219">
        <f>IF(ABS(J76-L77)&gt;16.5,3,0)</f>
        <v>0</v>
      </c>
      <c r="AE200" s="219" t="e">
        <f>SIGN(M76)</f>
        <v>#VALUE!</v>
      </c>
    </row>
    <row r="201" spans="2:31" ht="4.5" customHeight="1">
      <c r="B201" s="7"/>
      <c r="C201" s="7"/>
      <c r="D201" s="80"/>
      <c r="E201" s="7"/>
      <c r="F201" s="85"/>
      <c r="G201" s="7"/>
      <c r="H201" s="8"/>
      <c r="I201" s="84"/>
      <c r="J201" s="84"/>
      <c r="K201" s="84"/>
      <c r="L201" s="82"/>
      <c r="M201" s="7"/>
      <c r="N201" s="7"/>
      <c r="O201" s="7"/>
      <c r="P201" s="7"/>
      <c r="Q201" s="7"/>
      <c r="R201" s="153"/>
      <c r="S201" s="223"/>
      <c r="T201" s="223"/>
      <c r="U201" s="223"/>
      <c r="AC201" s="219">
        <f>IF(ABS(J76-L77)&gt;16.5,3,0)</f>
        <v>0</v>
      </c>
      <c r="AE201" s="219">
        <f>SIGN(M77)</f>
        <v>0</v>
      </c>
    </row>
    <row r="202" spans="2:31" ht="12">
      <c r="B202" s="7"/>
      <c r="C202" s="7"/>
      <c r="D202" s="80" t="s">
        <v>167</v>
      </c>
      <c r="E202" s="7"/>
      <c r="F202" s="85" t="s">
        <v>251</v>
      </c>
      <c r="G202" s="7"/>
      <c r="H202" s="369" t="s">
        <v>252</v>
      </c>
      <c r="I202" s="369"/>
      <c r="J202" s="369"/>
      <c r="K202" s="369"/>
      <c r="L202" s="82">
        <f ca="1">IF(AR="","",AR)</f>
        <v>16</v>
      </c>
      <c r="M202" s="7"/>
      <c r="N202" s="359" t="s">
        <v>261</v>
      </c>
      <c r="O202" s="359"/>
      <c r="P202" s="359" t="s">
        <v>261</v>
      </c>
      <c r="Q202" s="359"/>
      <c r="R202" s="153"/>
      <c r="S202" s="223"/>
      <c r="T202" s="223"/>
      <c r="U202" s="223"/>
      <c r="AC202" s="219" t="e">
        <f>IF(ABS(L78-#REF!)&gt;16.5,3,0)</f>
        <v>#REF!</v>
      </c>
      <c r="AE202" s="219" t="e">
        <f>SIGN(M78)</f>
        <v>#VALUE!</v>
      </c>
    </row>
    <row r="203" spans="2:31" ht="11.25" customHeight="1">
      <c r="B203" s="7"/>
      <c r="C203" s="7"/>
      <c r="D203" s="80"/>
      <c r="E203" s="7"/>
      <c r="F203" s="85" t="s">
        <v>246</v>
      </c>
      <c r="G203" s="7"/>
      <c r="H203" s="365" t="s">
        <v>253</v>
      </c>
      <c r="I203" s="365"/>
      <c r="J203" s="365"/>
      <c r="K203" s="84"/>
      <c r="L203" s="82"/>
      <c r="M203" s="7"/>
      <c r="N203" s="7"/>
      <c r="O203" s="7"/>
      <c r="P203" s="7"/>
      <c r="Q203" s="7"/>
      <c r="R203" s="153"/>
      <c r="S203" s="223"/>
      <c r="T203" s="223"/>
      <c r="U203" s="223"/>
      <c r="AC203" s="219" t="e">
        <f>IF(ABS(L78-#REF!)&gt;16.5,3,0)</f>
        <v>#REF!</v>
      </c>
      <c r="AE203" s="219" t="e">
        <f>SIGN(#REF!)</f>
        <v>#REF!</v>
      </c>
    </row>
    <row r="204" spans="2:31" ht="5.25" customHeight="1">
      <c r="B204" s="7"/>
      <c r="C204" s="7"/>
      <c r="E204" s="7"/>
      <c r="R204" s="153"/>
      <c r="S204" s="223"/>
      <c r="T204" s="223"/>
      <c r="U204" s="223"/>
      <c r="AC204" s="219">
        <f>IF(ABS(I202-I203)&gt;18,3,0)</f>
        <v>0</v>
      </c>
      <c r="AE204" s="219">
        <f>SIGN(L202)</f>
        <v>1</v>
      </c>
    </row>
    <row r="205" spans="2:31" ht="12">
      <c r="B205" s="7"/>
      <c r="C205" s="7"/>
      <c r="D205" s="80" t="s">
        <v>166</v>
      </c>
      <c r="F205" s="85" t="s">
        <v>249</v>
      </c>
      <c r="G205" s="7"/>
      <c r="H205" s="365" t="s">
        <v>153</v>
      </c>
      <c r="I205" s="365"/>
      <c r="J205" s="365"/>
      <c r="K205" s="84"/>
      <c r="L205" s="82">
        <f ca="1">IF(lns="","",lns)</f>
        <v>11</v>
      </c>
      <c r="M205" s="7"/>
      <c r="N205" s="359" t="s">
        <v>260</v>
      </c>
      <c r="O205" s="359"/>
      <c r="P205" s="359" t="s">
        <v>262</v>
      </c>
      <c r="Q205" s="359"/>
      <c r="R205" s="153"/>
      <c r="S205" s="223"/>
      <c r="T205" s="223"/>
      <c r="U205" s="223"/>
      <c r="AC205" s="219">
        <f>IF(ABS(I202-I203)&gt;18,3,0)</f>
        <v>0</v>
      </c>
      <c r="AE205" s="219">
        <f>SIGN(L203)</f>
        <v>0</v>
      </c>
    </row>
    <row r="206" spans="2:31" ht="12">
      <c r="B206" s="7"/>
      <c r="C206" s="7"/>
      <c r="R206" s="153"/>
      <c r="S206" s="223"/>
      <c r="T206" s="223"/>
      <c r="U206" s="223"/>
      <c r="AC206" s="219" t="e">
        <f>IF(ABS(#REF!-I207)&gt;16.5,3,0)</f>
        <v>#REF!</v>
      </c>
      <c r="AE206" s="219" t="e">
        <f>SIGN(#REF!)</f>
        <v>#REF!</v>
      </c>
    </row>
    <row r="207" spans="2:31" ht="12">
      <c r="B207" s="7"/>
      <c r="C207" s="7"/>
      <c r="D207" s="79" t="s">
        <v>28</v>
      </c>
      <c r="E207" s="7"/>
      <c r="F207" s="8"/>
      <c r="G207" s="7"/>
      <c r="H207" s="8"/>
      <c r="I207" s="84"/>
      <c r="J207" s="84"/>
      <c r="K207" s="84"/>
      <c r="L207" s="82"/>
      <c r="M207" s="7"/>
      <c r="N207" s="7"/>
      <c r="O207" s="7"/>
      <c r="P207" s="7"/>
      <c r="Q207" s="7"/>
      <c r="R207" s="153"/>
      <c r="S207" s="223"/>
      <c r="T207" s="223"/>
      <c r="U207" s="223"/>
      <c r="AC207" s="219" t="e">
        <f>IF(ABS(#REF!-I207)&gt;16.5,3,0)</f>
        <v>#REF!</v>
      </c>
      <c r="AE207" s="219">
        <f>SIGN(L207)</f>
        <v>0</v>
      </c>
    </row>
    <row r="208" spans="2:31" ht="12">
      <c r="B208" s="7"/>
      <c r="C208" s="7"/>
      <c r="D208" s="80" t="s">
        <v>256</v>
      </c>
      <c r="F208" s="85" t="s">
        <v>254</v>
      </c>
      <c r="G208" s="7"/>
      <c r="H208" s="365" t="s">
        <v>257</v>
      </c>
      <c r="I208" s="365"/>
      <c r="J208" s="365"/>
      <c r="K208" s="84"/>
      <c r="L208" s="82">
        <f ca="1">IF(SS="","",SS)</f>
        <v>10</v>
      </c>
      <c r="M208" s="7"/>
      <c r="N208" s="359" t="s">
        <v>261</v>
      </c>
      <c r="O208" s="359"/>
      <c r="P208" s="359" t="s">
        <v>262</v>
      </c>
      <c r="Q208" s="359"/>
      <c r="R208" s="153"/>
      <c r="S208" s="223"/>
      <c r="T208" s="223"/>
      <c r="U208" s="223"/>
      <c r="AC208" s="219" t="e">
        <f>IF(ABS(J211-#REF!)&gt;18.5,3,0)</f>
        <v>#REF!</v>
      </c>
      <c r="AE208" s="219">
        <f>SIGN(L211)</f>
        <v>1</v>
      </c>
    </row>
    <row r="209" spans="1:31" ht="14.25" customHeight="1">
      <c r="B209" s="7"/>
      <c r="C209" s="7"/>
      <c r="D209" s="80"/>
      <c r="E209" s="7"/>
      <c r="F209" s="85"/>
      <c r="G209" s="7"/>
      <c r="H209" s="366" t="s">
        <v>255</v>
      </c>
      <c r="I209" s="366"/>
      <c r="J209" s="366"/>
      <c r="K209" s="84"/>
      <c r="L209" s="82"/>
      <c r="M209" s="7"/>
      <c r="N209" s="7"/>
      <c r="O209" s="7"/>
      <c r="P209" s="7"/>
      <c r="Q209" s="7"/>
      <c r="R209" s="153"/>
      <c r="S209" s="223"/>
      <c r="T209" s="223"/>
      <c r="U209" s="223"/>
      <c r="AC209" s="219" t="e">
        <f>IF(ABS(J211-#REF!)&gt;18.5,3,0)</f>
        <v>#REF!</v>
      </c>
      <c r="AE209" s="219" t="e">
        <f>SIGN(#REF!)</f>
        <v>#REF!</v>
      </c>
    </row>
    <row r="210" spans="1:31" ht="3.75" customHeight="1">
      <c r="B210" s="7"/>
      <c r="C210" s="7"/>
      <c r="E210" s="7"/>
      <c r="R210" s="153"/>
      <c r="S210" s="223"/>
      <c r="T210" s="223"/>
      <c r="U210" s="223"/>
      <c r="AC210" s="219" t="e">
        <f>IF(ABS(I208-#REF!)&gt;16.5,3,0)</f>
        <v>#REF!</v>
      </c>
      <c r="AE210" s="219">
        <f>SIGN(L208)</f>
        <v>1</v>
      </c>
    </row>
    <row r="211" spans="1:31" ht="12">
      <c r="B211" s="7"/>
      <c r="C211" s="7"/>
      <c r="D211" s="80"/>
      <c r="E211" s="80" t="s">
        <v>112</v>
      </c>
      <c r="F211" s="86" t="s">
        <v>254</v>
      </c>
      <c r="H211" s="162" t="s">
        <v>255</v>
      </c>
      <c r="J211" s="123"/>
      <c r="K211" s="123"/>
      <c r="L211" s="82">
        <f ca="1">IF(CD="","",CD)</f>
        <v>5</v>
      </c>
      <c r="N211" s="359" t="s">
        <v>261</v>
      </c>
      <c r="O211" s="359"/>
      <c r="P211" s="359" t="s">
        <v>262</v>
      </c>
      <c r="Q211" s="359"/>
      <c r="R211" s="84"/>
      <c r="S211" s="223"/>
      <c r="T211" s="223"/>
      <c r="U211" s="223"/>
      <c r="AC211" s="219" t="e">
        <f>IF(ABS(I208-#REF!)&gt;16.5,3,0)</f>
        <v>#REF!</v>
      </c>
      <c r="AE211" s="219" t="e">
        <f>SIGN(M81)</f>
        <v>#VALUE!</v>
      </c>
    </row>
    <row r="212" spans="1:31" ht="4.5" customHeight="1">
      <c r="B212" s="7"/>
      <c r="C212" s="7"/>
      <c r="R212" s="2"/>
      <c r="S212" s="223"/>
      <c r="T212" s="223"/>
      <c r="U212" s="223"/>
    </row>
    <row r="213" spans="1:31" ht="12">
      <c r="B213" s="7"/>
      <c r="C213" s="7"/>
      <c r="D213" s="80" t="s">
        <v>168</v>
      </c>
      <c r="E213" s="7"/>
      <c r="F213" s="85" t="s">
        <v>254</v>
      </c>
      <c r="G213" s="7"/>
      <c r="H213" s="365" t="s">
        <v>257</v>
      </c>
      <c r="I213" s="365"/>
      <c r="J213" s="365"/>
      <c r="K213" s="84"/>
      <c r="L213" s="82">
        <f ca="1">IF(CA="","",CA)</f>
        <v>7</v>
      </c>
      <c r="M213" s="7"/>
      <c r="N213" s="359" t="s">
        <v>262</v>
      </c>
      <c r="O213" s="359"/>
      <c r="P213" s="359" t="s">
        <v>262</v>
      </c>
      <c r="Q213" s="359"/>
      <c r="R213" s="153"/>
      <c r="S213" s="223"/>
      <c r="T213" s="223"/>
      <c r="U213" s="223"/>
      <c r="AC213" s="219">
        <f>IF(ABS(L83-J84)&gt;15.5,3,0)</f>
        <v>0</v>
      </c>
      <c r="AE213" s="219" t="e">
        <f t="shared" ref="AE213:AE218" si="11">SIGN(M83)</f>
        <v>#VALUE!</v>
      </c>
    </row>
    <row r="214" spans="1:31">
      <c r="B214" s="7"/>
      <c r="C214" s="7"/>
      <c r="D214" s="8"/>
      <c r="E214" s="7"/>
      <c r="F214" s="7"/>
      <c r="G214" s="7"/>
      <c r="H214" s="8"/>
      <c r="I214" s="8"/>
      <c r="J214" s="7"/>
      <c r="K214" s="7"/>
      <c r="L214" s="82"/>
      <c r="M214" s="7"/>
      <c r="N214" s="7"/>
      <c r="O214" s="7"/>
      <c r="P214" s="7"/>
      <c r="Q214" s="7"/>
      <c r="AC214" s="219">
        <f>IF(ABS(L83-J84)&gt;15.5,3,0)</f>
        <v>0</v>
      </c>
      <c r="AE214" s="219">
        <f t="shared" si="11"/>
        <v>0</v>
      </c>
    </row>
    <row r="215" spans="1:31" ht="12" customHeight="1">
      <c r="B215" s="7"/>
      <c r="C215" s="7"/>
      <c r="D215" s="364" t="s">
        <v>263</v>
      </c>
      <c r="E215" s="364"/>
      <c r="F215" s="364"/>
      <c r="G215" s="364"/>
      <c r="H215" s="364"/>
      <c r="I215" s="364"/>
      <c r="J215" s="364"/>
      <c r="K215" s="364"/>
      <c r="L215" s="364"/>
      <c r="M215" s="364"/>
      <c r="N215" s="364"/>
      <c r="O215" s="364"/>
      <c r="P215" s="364"/>
      <c r="Q215" s="364"/>
      <c r="AC215" s="219">
        <f>IF(ABS(J85-J86)&gt;12.5,3,0)</f>
        <v>0</v>
      </c>
      <c r="AE215" s="219">
        <f t="shared" si="11"/>
        <v>0</v>
      </c>
    </row>
    <row r="216" spans="1:31">
      <c r="B216" s="7"/>
      <c r="C216" s="7"/>
      <c r="D216" s="364"/>
      <c r="E216" s="364"/>
      <c r="F216" s="364"/>
      <c r="G216" s="364"/>
      <c r="H216" s="364"/>
      <c r="I216" s="364"/>
      <c r="J216" s="364"/>
      <c r="K216" s="364"/>
      <c r="L216" s="364"/>
      <c r="M216" s="364"/>
      <c r="N216" s="364"/>
      <c r="O216" s="364"/>
      <c r="P216" s="364"/>
      <c r="Q216" s="364"/>
      <c r="AC216" s="219">
        <f>IF(ABS(J85-J86)&gt;12.5,3,0)</f>
        <v>0</v>
      </c>
      <c r="AE216" s="219">
        <f t="shared" si="11"/>
        <v>0</v>
      </c>
    </row>
    <row r="217" spans="1:31">
      <c r="B217" s="7"/>
      <c r="C217" s="7"/>
      <c r="D217" s="364"/>
      <c r="E217" s="364"/>
      <c r="F217" s="364"/>
      <c r="G217" s="364"/>
      <c r="H217" s="364"/>
      <c r="I217" s="364"/>
      <c r="J217" s="364"/>
      <c r="K217" s="364"/>
      <c r="L217" s="364"/>
      <c r="M217" s="364"/>
      <c r="N217" s="364"/>
      <c r="O217" s="364"/>
      <c r="P217" s="364"/>
      <c r="Q217" s="364"/>
      <c r="AC217" s="219">
        <f>IF(ABS(J87-J88)&gt;16.5,3,0)</f>
        <v>0</v>
      </c>
      <c r="AE217" s="219">
        <f t="shared" si="11"/>
        <v>0</v>
      </c>
    </row>
    <row r="218" spans="1:31">
      <c r="AC218" s="219">
        <f>IF(ABS(J87-J88)&gt;16.5,3,0)</f>
        <v>0</v>
      </c>
      <c r="AE218" s="219">
        <f t="shared" si="11"/>
        <v>0</v>
      </c>
    </row>
    <row r="219" spans="1:31">
      <c r="AC219" s="219">
        <f>IF(ABS(I219-I220)&gt;15.5,3,0)</f>
        <v>0</v>
      </c>
      <c r="AE219" s="219">
        <f t="shared" ref="AE219:AE224" si="12">SIGN(L219)</f>
        <v>0</v>
      </c>
    </row>
    <row r="220" spans="1:31" ht="12">
      <c r="A220" s="44"/>
      <c r="B220" s="236" t="s">
        <v>444</v>
      </c>
      <c r="C220" s="237"/>
      <c r="D220" s="145"/>
      <c r="E220" s="237"/>
      <c r="F220" s="237"/>
      <c r="G220" s="237"/>
      <c r="H220" s="237"/>
      <c r="I220" s="237"/>
      <c r="J220" s="237"/>
      <c r="K220" s="237"/>
      <c r="L220" s="237"/>
      <c r="M220" s="237"/>
      <c r="N220" s="237"/>
      <c r="O220" s="237"/>
      <c r="P220" s="237"/>
      <c r="Q220" s="237"/>
      <c r="R220" s="153"/>
      <c r="S220" s="223"/>
      <c r="T220" s="223"/>
      <c r="U220" s="223"/>
      <c r="V220" s="223"/>
      <c r="W220" s="223"/>
      <c r="AC220" s="219">
        <f>IF(ABS(I219-I220)&gt;15.5,3,0)</f>
        <v>0</v>
      </c>
      <c r="AE220" s="219">
        <f t="shared" si="12"/>
        <v>0</v>
      </c>
    </row>
    <row r="221" spans="1:31" ht="7.5" customHeight="1">
      <c r="A221" s="44"/>
      <c r="B221" s="44"/>
      <c r="C221" s="44"/>
      <c r="D221" s="44"/>
      <c r="E221" s="44"/>
      <c r="F221" s="44"/>
      <c r="G221" s="44"/>
      <c r="H221" s="44"/>
      <c r="I221" s="44"/>
      <c r="J221" s="44"/>
      <c r="K221" s="44"/>
      <c r="L221" s="44"/>
      <c r="M221" s="44"/>
      <c r="N221" s="44"/>
      <c r="O221" s="44"/>
      <c r="P221" s="44"/>
      <c r="Q221" s="44"/>
      <c r="R221" s="153"/>
      <c r="S221" s="223"/>
      <c r="T221" s="223"/>
      <c r="U221" s="223"/>
      <c r="V221" s="223"/>
      <c r="W221" s="223"/>
      <c r="AC221" s="219">
        <f>IF(ABS(I221-I222)&gt;15,3,0)</f>
        <v>0</v>
      </c>
      <c r="AE221" s="219">
        <f t="shared" si="12"/>
        <v>0</v>
      </c>
    </row>
    <row r="222" spans="1:31" ht="17.25" customHeight="1">
      <c r="A222" s="44"/>
      <c r="B222" s="179"/>
      <c r="C222" s="179"/>
      <c r="D222" s="238" t="s">
        <v>445</v>
      </c>
      <c r="E222" s="179"/>
      <c r="F222" s="239">
        <f>(1.0660036*V222)+36.039785</f>
        <v>114.9240514</v>
      </c>
      <c r="G222" s="44"/>
      <c r="H222" s="358" t="str">
        <f>IF(ABS(F222-F223)&gt;=9,"There is a significant difference between the two Indexes.","There is no difference between the two Indexes.")</f>
        <v>There is a significant difference between the two Indexes.</v>
      </c>
      <c r="I222" s="358"/>
      <c r="J222" s="358"/>
      <c r="K222" s="358"/>
      <c r="L222" s="358"/>
      <c r="M222" s="358"/>
      <c r="N222" s="358"/>
      <c r="O222" s="358"/>
      <c r="P222" s="358"/>
      <c r="Q222" s="358"/>
      <c r="R222" s="153"/>
      <c r="S222" s="223"/>
      <c r="T222" s="223"/>
      <c r="U222" s="218">
        <f>IF(W21=3,W13)</f>
        <v>39</v>
      </c>
      <c r="V222" s="223">
        <f>U222+U223</f>
        <v>74</v>
      </c>
      <c r="W222" s="223"/>
      <c r="AC222" s="219">
        <f>IF(ABS(I221-I222)&gt;15,3,0)</f>
        <v>0</v>
      </c>
      <c r="AE222" s="219">
        <f t="shared" si="12"/>
        <v>0</v>
      </c>
    </row>
    <row r="223" spans="1:31" ht="17.25" customHeight="1">
      <c r="A223" s="44"/>
      <c r="B223" s="179"/>
      <c r="C223" s="179"/>
      <c r="D223" s="238" t="s">
        <v>277</v>
      </c>
      <c r="E223" s="179"/>
      <c r="F223" s="239">
        <f>(1.597194*V224)+36.112344</f>
        <v>104.791686</v>
      </c>
      <c r="G223" s="44"/>
      <c r="H223" s="358"/>
      <c r="I223" s="358"/>
      <c r="J223" s="358"/>
      <c r="K223" s="358"/>
      <c r="L223" s="358"/>
      <c r="M223" s="358"/>
      <c r="N223" s="358"/>
      <c r="O223" s="358"/>
      <c r="P223" s="358"/>
      <c r="Q223" s="358"/>
      <c r="R223" s="153"/>
      <c r="S223" s="223"/>
      <c r="T223" s="223"/>
      <c r="U223" s="218">
        <f>IF(W20=3,Y13)</f>
        <v>35</v>
      </c>
      <c r="V223" s="223"/>
      <c r="W223" s="223"/>
      <c r="AC223" s="219">
        <f>IF(ABS(I223-I224)&gt;17.5,3,0)</f>
        <v>0</v>
      </c>
      <c r="AE223" s="219">
        <f t="shared" si="12"/>
        <v>0</v>
      </c>
    </row>
    <row r="224" spans="1:31" ht="3" customHeight="1">
      <c r="A224" s="44"/>
      <c r="B224" s="44"/>
      <c r="C224" s="44"/>
      <c r="D224" s="44"/>
      <c r="E224" s="44"/>
      <c r="F224" s="44"/>
      <c r="G224" s="44"/>
      <c r="H224" s="44"/>
      <c r="I224" s="44"/>
      <c r="J224" s="44"/>
      <c r="K224" s="44"/>
      <c r="L224" s="44"/>
      <c r="M224" s="44"/>
      <c r="N224" s="44"/>
      <c r="O224" s="44"/>
      <c r="P224" s="44"/>
      <c r="Q224" s="44"/>
      <c r="R224" s="153"/>
      <c r="S224" s="223"/>
      <c r="T224" s="223"/>
      <c r="U224" s="216">
        <f>IF(AB43&lt;2,"",AA13)</f>
        <v>28</v>
      </c>
      <c r="V224" s="223">
        <f>U224+U225</f>
        <v>43</v>
      </c>
      <c r="W224" s="223"/>
      <c r="AC224" s="219">
        <f>IF(ABS(I223-I224)&gt;17.5,3,0)</f>
        <v>0</v>
      </c>
      <c r="AE224" s="219">
        <f t="shared" si="12"/>
        <v>0</v>
      </c>
    </row>
    <row r="225" spans="1:85" ht="29.25" customHeight="1">
      <c r="A225" s="44"/>
      <c r="B225" s="363" t="s">
        <v>446</v>
      </c>
      <c r="C225" s="363"/>
      <c r="D225" s="363"/>
      <c r="E225" s="363"/>
      <c r="F225" s="363"/>
      <c r="G225" s="363"/>
      <c r="H225" s="363"/>
      <c r="I225" s="363"/>
      <c r="J225" s="363"/>
      <c r="K225" s="363"/>
      <c r="L225" s="363"/>
      <c r="M225" s="363"/>
      <c r="N225" s="363"/>
      <c r="O225" s="363"/>
      <c r="P225" s="363"/>
      <c r="Q225" s="363"/>
      <c r="R225" s="153"/>
      <c r="S225" s="223"/>
      <c r="T225" s="223"/>
      <c r="U225" s="216">
        <f>IF(AE43&lt;2,"",AC13)</f>
        <v>15</v>
      </c>
      <c r="V225" s="223"/>
      <c r="W225" s="223"/>
    </row>
    <row r="226" spans="1:85" ht="5.25" customHeight="1">
      <c r="A226" s="44"/>
      <c r="B226" s="240"/>
      <c r="C226" s="240"/>
      <c r="D226" s="240"/>
      <c r="E226" s="240"/>
      <c r="F226" s="240"/>
      <c r="G226" s="240"/>
      <c r="H226" s="240"/>
      <c r="I226" s="240"/>
      <c r="J226" s="240"/>
      <c r="K226" s="240"/>
      <c r="L226" s="240"/>
      <c r="M226" s="240"/>
      <c r="N226" s="240"/>
      <c r="O226" s="240"/>
      <c r="P226" s="240"/>
      <c r="Q226" s="240"/>
      <c r="R226" s="153"/>
      <c r="S226" s="223"/>
      <c r="T226" s="223"/>
      <c r="U226" s="223"/>
      <c r="V226" s="223"/>
      <c r="W226" s="223"/>
    </row>
    <row r="227" spans="1:85" ht="83.25" customHeight="1">
      <c r="A227" s="44"/>
      <c r="B227" s="362" t="s">
        <v>447</v>
      </c>
      <c r="C227" s="362"/>
      <c r="D227" s="362"/>
      <c r="E227" s="362"/>
      <c r="F227" s="362"/>
      <c r="G227" s="362"/>
      <c r="H227" s="362"/>
      <c r="I227" s="362"/>
      <c r="J227" s="362"/>
      <c r="K227" s="362"/>
      <c r="L227" s="362"/>
      <c r="M227" s="362"/>
      <c r="N227" s="362"/>
      <c r="O227" s="362"/>
      <c r="P227" s="362"/>
      <c r="Q227" s="362"/>
      <c r="R227" s="153"/>
      <c r="S227" s="223"/>
      <c r="T227" s="223"/>
      <c r="U227" s="223"/>
      <c r="V227" s="223"/>
      <c r="W227" s="223"/>
    </row>
    <row r="228" spans="1:85" ht="1.5" customHeight="1">
      <c r="A228" s="44"/>
      <c r="B228" s="44"/>
      <c r="C228" s="44"/>
      <c r="D228" s="7"/>
      <c r="E228" s="7"/>
      <c r="F228" s="7"/>
      <c r="G228" s="7"/>
      <c r="H228" s="7"/>
      <c r="I228" s="7"/>
      <c r="J228" s="7"/>
      <c r="K228" s="7"/>
      <c r="L228" s="7"/>
      <c r="M228" s="7"/>
      <c r="N228" s="7"/>
      <c r="O228" s="7"/>
      <c r="P228" s="44"/>
      <c r="Q228" s="44"/>
      <c r="R228" s="153"/>
      <c r="S228" s="223"/>
      <c r="T228" s="223"/>
      <c r="U228" s="223"/>
      <c r="V228" s="223"/>
      <c r="W228" s="223"/>
    </row>
    <row r="229" spans="1:85" ht="1.5" customHeight="1">
      <c r="A229" s="44"/>
      <c r="B229" s="44"/>
      <c r="C229" s="44"/>
      <c r="P229" s="44"/>
      <c r="Q229" s="44"/>
      <c r="R229" s="153"/>
      <c r="S229" s="223"/>
      <c r="T229" s="223"/>
      <c r="U229" s="223"/>
      <c r="V229" s="223"/>
      <c r="W229" s="223"/>
    </row>
    <row r="230" spans="1:85" ht="6.75" customHeight="1" thickBot="1">
      <c r="A230" s="44"/>
      <c r="B230" s="44"/>
      <c r="C230" s="44"/>
      <c r="P230" s="44"/>
      <c r="Q230" s="44"/>
      <c r="R230" s="153"/>
      <c r="S230" s="223"/>
      <c r="T230" s="223"/>
      <c r="U230" s="223"/>
      <c r="V230" s="223"/>
      <c r="W230" s="223"/>
    </row>
    <row r="231" spans="1:85" ht="12">
      <c r="A231" s="44"/>
      <c r="B231" s="44"/>
      <c r="C231" s="241"/>
      <c r="D231" s="357" t="s">
        <v>280</v>
      </c>
      <c r="E231" s="357"/>
      <c r="F231" s="357"/>
      <c r="G231" s="60"/>
      <c r="H231" s="360" t="s">
        <v>281</v>
      </c>
      <c r="I231" s="357"/>
      <c r="J231" s="357"/>
      <c r="K231" s="357"/>
      <c r="L231" s="357"/>
      <c r="M231" s="357"/>
      <c r="N231" s="357"/>
      <c r="O231" s="361"/>
      <c r="Q231" s="44"/>
      <c r="R231" s="153"/>
      <c r="S231" s="223"/>
      <c r="T231" s="223"/>
      <c r="U231" s="223"/>
      <c r="V231" s="223"/>
      <c r="W231" s="223"/>
    </row>
    <row r="232" spans="1:85" s="42" customFormat="1" ht="20.25" customHeight="1" thickBot="1">
      <c r="A232" s="179"/>
      <c r="B232" s="179"/>
      <c r="C232" s="242"/>
      <c r="D232" s="348">
        <f>V235</f>
        <v>13.8</v>
      </c>
      <c r="E232" s="349"/>
      <c r="F232" s="349"/>
      <c r="G232" s="243"/>
      <c r="H232" s="244"/>
      <c r="I232" s="348">
        <f>V236</f>
        <v>10.375</v>
      </c>
      <c r="J232" s="349"/>
      <c r="K232" s="349"/>
      <c r="L232" s="349"/>
      <c r="M232" s="349"/>
      <c r="N232" s="349"/>
      <c r="O232" s="245"/>
      <c r="Q232" s="179"/>
      <c r="R232" s="181"/>
      <c r="S232" s="234"/>
      <c r="T232" s="234"/>
      <c r="U232" s="234"/>
      <c r="V232" s="234"/>
      <c r="W232" s="234"/>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c r="AX232" s="232"/>
      <c r="AY232" s="232"/>
      <c r="AZ232" s="232"/>
      <c r="BA232" s="232"/>
      <c r="BB232" s="232"/>
      <c r="BC232" s="232"/>
      <c r="BD232" s="232"/>
      <c r="BE232" s="232"/>
      <c r="BF232" s="232"/>
      <c r="BG232" s="232"/>
      <c r="BH232" s="232"/>
      <c r="BI232" s="232"/>
      <c r="BJ232" s="232"/>
      <c r="BK232" s="232"/>
      <c r="BL232" s="232"/>
      <c r="BM232" s="232"/>
      <c r="BN232" s="232"/>
      <c r="BO232" s="232"/>
      <c r="BP232" s="232"/>
      <c r="BQ232" s="232"/>
      <c r="BR232" s="232"/>
      <c r="BS232" s="235"/>
      <c r="BT232" s="235"/>
      <c r="BU232" s="235"/>
      <c r="BV232" s="235"/>
      <c r="BW232" s="235"/>
      <c r="BX232" s="235"/>
      <c r="BY232" s="235"/>
      <c r="BZ232" s="235"/>
      <c r="CA232" s="235"/>
      <c r="CB232" s="235"/>
      <c r="CC232" s="235"/>
      <c r="CD232" s="235"/>
      <c r="CE232" s="235"/>
      <c r="CF232" s="235"/>
      <c r="CG232" s="235"/>
    </row>
    <row r="233" spans="1:85" ht="12" customHeight="1">
      <c r="A233" s="44"/>
      <c r="B233" s="246"/>
      <c r="C233" s="247"/>
      <c r="D233" s="159" t="s">
        <v>10</v>
      </c>
      <c r="E233" s="161"/>
      <c r="F233" s="161">
        <f ca="1">IF(sim="","",sim)</f>
        <v>16</v>
      </c>
      <c r="G233" s="248"/>
      <c r="H233" s="249"/>
      <c r="I233" s="159" t="s">
        <v>11</v>
      </c>
      <c r="J233" s="161"/>
      <c r="K233" s="161"/>
      <c r="L233" s="161"/>
      <c r="M233" s="161"/>
      <c r="N233" s="161">
        <f ca="1">IF(bd="","",bd)</f>
        <v>10</v>
      </c>
      <c r="O233" s="250"/>
      <c r="P233" s="344" t="s">
        <v>283</v>
      </c>
      <c r="Q233" s="345"/>
      <c r="R233" s="153"/>
      <c r="S233" s="223"/>
      <c r="T233" s="223">
        <f>SUM(F233:F237)+SUM(N233:N237)</f>
        <v>112</v>
      </c>
      <c r="U233" s="223">
        <f>COUNT(F233:F237)+COUNT(N233:N237)</f>
        <v>9</v>
      </c>
      <c r="V233" s="251">
        <f>T233/U233</f>
        <v>12.444444444444445</v>
      </c>
      <c r="W233" s="223"/>
    </row>
    <row r="234" spans="1:85" ht="12">
      <c r="B234" s="252"/>
      <c r="C234" s="253"/>
      <c r="D234" s="132" t="s">
        <v>9</v>
      </c>
      <c r="E234" s="75"/>
      <c r="F234" s="75">
        <f ca="1">IF(VOC="","",VOC)</f>
        <v>11</v>
      </c>
      <c r="G234" s="254"/>
      <c r="H234" s="255"/>
      <c r="I234" s="132" t="s">
        <v>13</v>
      </c>
      <c r="J234" s="75"/>
      <c r="K234" s="75"/>
      <c r="L234" s="75"/>
      <c r="M234" s="75"/>
      <c r="N234" s="75">
        <f ca="1">IF(MR="","",MR)</f>
        <v>16</v>
      </c>
      <c r="O234" s="256"/>
      <c r="P234" s="346"/>
      <c r="Q234" s="347"/>
      <c r="R234" s="153"/>
      <c r="S234" s="223"/>
      <c r="T234" s="223">
        <f>SUM(F241:F246)+SUM(N241:N246)</f>
        <v>109</v>
      </c>
      <c r="U234" s="223">
        <f>COUNT(F241:F246)+COUNT(N241:N246)</f>
        <v>9</v>
      </c>
      <c r="V234" s="251">
        <f>T234/U234</f>
        <v>12.111111111111111</v>
      </c>
    </row>
    <row r="235" spans="1:85" ht="12">
      <c r="B235" s="252"/>
      <c r="C235" s="253"/>
      <c r="D235" s="133" t="s">
        <v>15</v>
      </c>
      <c r="E235" s="75"/>
      <c r="F235" s="75">
        <f ca="1">IF(IN="","",IN)</f>
        <v>12</v>
      </c>
      <c r="G235" s="254"/>
      <c r="H235" s="255"/>
      <c r="I235" s="2" t="s">
        <v>311</v>
      </c>
      <c r="J235" s="75"/>
      <c r="K235" s="75"/>
      <c r="L235" s="75"/>
      <c r="M235" s="75"/>
      <c r="N235" s="75">
        <f ca="1">IF(VP="","",VP)</f>
        <v>9</v>
      </c>
      <c r="O235" s="256"/>
      <c r="P235" s="346"/>
      <c r="Q235" s="347"/>
      <c r="R235" s="153"/>
      <c r="S235" s="223"/>
      <c r="T235" s="223">
        <f>SUM(F233:F237)+SUM(F241:F246)</f>
        <v>138</v>
      </c>
      <c r="U235" s="223">
        <f>COUNT(F233:F237)+COUNT(F241:F246)</f>
        <v>10</v>
      </c>
      <c r="V235" s="251">
        <f>T235/U235</f>
        <v>13.8</v>
      </c>
    </row>
    <row r="236" spans="1:85" ht="12">
      <c r="B236" s="252"/>
      <c r="C236" s="253"/>
      <c r="D236" s="133" t="s">
        <v>17</v>
      </c>
      <c r="E236" s="75"/>
      <c r="F236" s="75">
        <f ca="1">IF(COMP="","",COMP)</f>
        <v>12</v>
      </c>
      <c r="G236" s="254"/>
      <c r="H236" s="255"/>
      <c r="I236" s="165" t="s">
        <v>312</v>
      </c>
      <c r="J236" s="75"/>
      <c r="K236" s="75"/>
      <c r="L236" s="75"/>
      <c r="M236" s="75"/>
      <c r="N236" s="75">
        <f ca="1">IF(FW="","",FW)</f>
        <v>16</v>
      </c>
      <c r="O236" s="256"/>
      <c r="P236" s="350">
        <f>V233</f>
        <v>12.444444444444445</v>
      </c>
      <c r="Q236" s="351"/>
      <c r="R236" s="153"/>
      <c r="S236" s="223"/>
      <c r="T236" s="223">
        <f>SUM(N233:N237)+SUM(N241:N246)</f>
        <v>83</v>
      </c>
      <c r="U236" s="223">
        <f>COUNT(N233:N237)+COUNT(N241:N246)</f>
        <v>8</v>
      </c>
      <c r="V236" s="251">
        <f>T236/U236</f>
        <v>10.375</v>
      </c>
    </row>
    <row r="237" spans="1:85" ht="12.75" thickBot="1">
      <c r="B237" s="257"/>
      <c r="C237" s="258"/>
      <c r="D237" s="160"/>
      <c r="E237" s="259"/>
      <c r="F237" s="259"/>
      <c r="G237" s="260"/>
      <c r="H237" s="261"/>
      <c r="I237" s="262" t="s">
        <v>5</v>
      </c>
      <c r="J237" s="259"/>
      <c r="K237" s="259"/>
      <c r="L237" s="259"/>
      <c r="M237" s="259"/>
      <c r="N237" s="259">
        <f ca="1">IF(PCm="","",PCm)</f>
        <v>10</v>
      </c>
      <c r="O237" s="263"/>
      <c r="P237" s="352"/>
      <c r="Q237" s="353"/>
      <c r="R237" s="153"/>
      <c r="S237" s="223"/>
      <c r="T237" s="223"/>
      <c r="U237" s="223"/>
    </row>
    <row r="238" spans="1:85" ht="12">
      <c r="B238" s="44"/>
      <c r="C238" s="253"/>
      <c r="D238" s="74"/>
      <c r="E238" s="74"/>
      <c r="F238" s="74"/>
      <c r="G238" s="256"/>
      <c r="H238" s="253"/>
      <c r="I238" s="74"/>
      <c r="J238" s="75"/>
      <c r="K238" s="75"/>
      <c r="L238" s="75"/>
      <c r="M238" s="75"/>
      <c r="N238" s="75"/>
      <c r="O238" s="256"/>
      <c r="Q238" s="44"/>
      <c r="R238" s="153"/>
      <c r="S238" s="223"/>
      <c r="T238" s="223"/>
      <c r="U238" s="223"/>
    </row>
    <row r="239" spans="1:85" ht="12" hidden="1">
      <c r="B239" s="44"/>
      <c r="C239" s="253"/>
      <c r="D239" s="354"/>
      <c r="E239" s="354"/>
      <c r="F239" s="354"/>
      <c r="G239" s="254"/>
      <c r="H239" s="355"/>
      <c r="I239" s="354"/>
      <c r="J239" s="354"/>
      <c r="K239" s="354"/>
      <c r="L239" s="354"/>
      <c r="M239" s="354"/>
      <c r="N239" s="354"/>
      <c r="O239" s="356"/>
      <c r="Q239" s="44"/>
      <c r="R239" s="153"/>
      <c r="S239" s="223"/>
      <c r="T239" s="223"/>
      <c r="U239" s="223"/>
    </row>
    <row r="240" spans="1:85" ht="12.75" thickBot="1">
      <c r="B240" s="44"/>
      <c r="C240" s="253"/>
      <c r="D240" s="33"/>
      <c r="E240" s="33"/>
      <c r="F240" s="33"/>
      <c r="G240" s="264"/>
      <c r="H240" s="265"/>
      <c r="I240" s="33"/>
      <c r="J240" s="33"/>
      <c r="K240" s="33"/>
      <c r="L240" s="33"/>
      <c r="M240" s="33"/>
      <c r="N240" s="33"/>
      <c r="O240" s="256"/>
      <c r="Q240" s="44"/>
      <c r="R240" s="153"/>
      <c r="S240" s="223"/>
      <c r="T240" s="223"/>
      <c r="U240" s="223"/>
    </row>
    <row r="241" spans="2:22" ht="12" customHeight="1">
      <c r="B241" s="246"/>
      <c r="C241" s="247"/>
      <c r="D241" s="161" t="s">
        <v>165</v>
      </c>
      <c r="E241" s="161"/>
      <c r="F241" s="161">
        <f ca="1">IF(DS="","",DS)</f>
        <v>12</v>
      </c>
      <c r="G241" s="248"/>
      <c r="H241" s="249"/>
      <c r="I241" s="159" t="s">
        <v>18</v>
      </c>
      <c r="J241" s="161"/>
      <c r="K241" s="161"/>
      <c r="L241" s="161"/>
      <c r="M241" s="161"/>
      <c r="N241" s="161">
        <f ca="1">IF(SS="","",SS)</f>
        <v>10</v>
      </c>
      <c r="O241" s="250"/>
      <c r="P241" s="344" t="s">
        <v>282</v>
      </c>
      <c r="Q241" s="345"/>
      <c r="R241" s="153"/>
      <c r="S241" s="223"/>
      <c r="T241" s="223"/>
      <c r="U241" s="223"/>
    </row>
    <row r="242" spans="2:22" ht="12">
      <c r="B242" s="252"/>
      <c r="C242" s="253"/>
      <c r="D242" s="75" t="s">
        <v>167</v>
      </c>
      <c r="E242" s="75"/>
      <c r="F242" s="75">
        <f ca="1">IF(AR="","",AR)</f>
        <v>16</v>
      </c>
      <c r="G242" s="254"/>
      <c r="H242" s="255"/>
      <c r="I242" s="132" t="s">
        <v>112</v>
      </c>
      <c r="J242" s="75"/>
      <c r="K242" s="75"/>
      <c r="L242" s="75"/>
      <c r="M242" s="75"/>
      <c r="N242" s="75">
        <f ca="1">IF(CD="","",CD)</f>
        <v>5</v>
      </c>
      <c r="O242" s="256"/>
      <c r="P242" s="346"/>
      <c r="Q242" s="347"/>
      <c r="R242" s="153"/>
      <c r="S242" s="223"/>
      <c r="T242" s="223"/>
      <c r="U242" s="223"/>
    </row>
    <row r="243" spans="2:22" ht="12">
      <c r="B243" s="252"/>
      <c r="C243" s="253"/>
      <c r="D243" s="134" t="s">
        <v>166</v>
      </c>
      <c r="E243" s="75"/>
      <c r="F243" s="75">
        <f ca="1">IF(lns="","",lns)</f>
        <v>11</v>
      </c>
      <c r="G243" s="254"/>
      <c r="H243" s="255"/>
      <c r="I243" s="133" t="s">
        <v>168</v>
      </c>
      <c r="J243" s="75"/>
      <c r="K243" s="75"/>
      <c r="L243" s="75"/>
      <c r="M243" s="75"/>
      <c r="N243" s="75">
        <f ca="1">IF(CA="","",CA)</f>
        <v>7</v>
      </c>
      <c r="O243" s="256"/>
      <c r="P243" s="346"/>
      <c r="Q243" s="347"/>
      <c r="R243" s="153"/>
      <c r="S243" s="223"/>
      <c r="T243" s="223"/>
      <c r="U243" s="223"/>
    </row>
    <row r="244" spans="2:22" ht="12">
      <c r="B244" s="252"/>
      <c r="C244" s="253"/>
      <c r="D244" s="134" t="s">
        <v>278</v>
      </c>
      <c r="E244" s="75"/>
      <c r="F244" s="75">
        <f ca="1">IF(dsf="","",dsf)</f>
        <v>18</v>
      </c>
      <c r="G244" s="254"/>
      <c r="H244" s="255"/>
      <c r="I244" s="133"/>
      <c r="J244" s="75"/>
      <c r="K244" s="75"/>
      <c r="L244" s="75"/>
      <c r="M244" s="75"/>
      <c r="N244" s="75"/>
      <c r="O244" s="256"/>
      <c r="P244" s="202"/>
      <c r="Q244" s="266"/>
      <c r="R244" s="153"/>
      <c r="S244" s="223"/>
      <c r="T244" s="223"/>
      <c r="U244" s="223"/>
    </row>
    <row r="245" spans="2:22" ht="12">
      <c r="B245" s="252"/>
      <c r="C245" s="253"/>
      <c r="D245" s="165" t="s">
        <v>279</v>
      </c>
      <c r="F245" s="75">
        <f ca="1">IF(dsb="","",dsb)</f>
        <v>17</v>
      </c>
      <c r="G245" s="254"/>
      <c r="H245" s="255"/>
      <c r="O245" s="256"/>
      <c r="P245" s="350">
        <f>V234</f>
        <v>12.111111111111111</v>
      </c>
      <c r="Q245" s="351"/>
      <c r="R245" s="153"/>
      <c r="S245" s="223"/>
      <c r="T245" s="223"/>
      <c r="U245" s="223"/>
    </row>
    <row r="246" spans="2:22" ht="12.75" thickBot="1">
      <c r="B246" s="257"/>
      <c r="C246" s="258"/>
      <c r="D246" s="262" t="s">
        <v>343</v>
      </c>
      <c r="E246" s="259"/>
      <c r="F246" s="259">
        <f ca="1">IF(dssq="","",dssq)</f>
        <v>13</v>
      </c>
      <c r="G246" s="260"/>
      <c r="H246" s="261"/>
      <c r="I246" s="262"/>
      <c r="J246" s="259"/>
      <c r="K246" s="259"/>
      <c r="L246" s="259"/>
      <c r="M246" s="259"/>
      <c r="N246" s="259"/>
      <c r="O246" s="263"/>
      <c r="P246" s="352"/>
      <c r="Q246" s="353"/>
      <c r="R246" s="153"/>
      <c r="S246" s="223"/>
      <c r="T246" s="223"/>
      <c r="U246" s="223"/>
    </row>
    <row r="247" spans="2:22" ht="12.75" thickBot="1">
      <c r="B247" s="44"/>
      <c r="C247" s="267"/>
      <c r="D247" s="62"/>
      <c r="E247" s="268"/>
      <c r="F247" s="268"/>
      <c r="G247" s="269"/>
      <c r="H247" s="267"/>
      <c r="I247" s="268"/>
      <c r="J247" s="268"/>
      <c r="K247" s="268"/>
      <c r="L247" s="268"/>
      <c r="M247" s="268"/>
      <c r="N247" s="268"/>
      <c r="O247" s="269"/>
      <c r="Q247" s="44"/>
      <c r="R247" s="153"/>
      <c r="S247" s="223"/>
      <c r="T247" s="223"/>
      <c r="U247" s="223"/>
    </row>
    <row r="248" spans="2:22" ht="12">
      <c r="B248" s="44"/>
      <c r="C248" s="44"/>
      <c r="D248" s="44"/>
      <c r="E248" s="44"/>
      <c r="F248" s="44"/>
      <c r="G248" s="44"/>
      <c r="H248" s="44"/>
      <c r="I248" s="44"/>
      <c r="J248" s="44"/>
      <c r="K248" s="44"/>
      <c r="L248" s="44"/>
      <c r="M248" s="44"/>
      <c r="N248" s="44"/>
      <c r="O248" s="44"/>
      <c r="P248" s="44"/>
      <c r="Q248" s="44"/>
      <c r="R248" s="153"/>
      <c r="S248" s="223"/>
      <c r="T248" s="223"/>
      <c r="U248" s="223"/>
    </row>
    <row r="249" spans="2:22" ht="12">
      <c r="B249" s="44"/>
      <c r="C249" s="270"/>
      <c r="D249" s="270"/>
      <c r="E249" s="270"/>
      <c r="F249" s="270"/>
      <c r="G249" s="270"/>
      <c r="H249" s="270"/>
      <c r="I249" s="270"/>
      <c r="J249" s="270"/>
      <c r="K249" s="270"/>
      <c r="L249" s="270"/>
      <c r="M249" s="270"/>
      <c r="N249" s="270"/>
      <c r="O249" s="270"/>
      <c r="P249" s="270"/>
      <c r="Q249" s="270"/>
      <c r="R249" s="153"/>
      <c r="S249" s="223"/>
      <c r="T249" s="223"/>
      <c r="U249" s="223"/>
    </row>
    <row r="250" spans="2:22" ht="12">
      <c r="B250" s="44"/>
      <c r="C250" s="270"/>
      <c r="D250" s="270" t="s">
        <v>342</v>
      </c>
      <c r="E250" s="270"/>
      <c r="F250" s="270"/>
      <c r="G250" s="270"/>
      <c r="H250" s="270"/>
      <c r="I250" s="270"/>
      <c r="J250" s="270"/>
      <c r="K250" s="270"/>
      <c r="L250" s="270"/>
      <c r="M250" s="270"/>
      <c r="N250" s="270"/>
      <c r="O250" s="270"/>
      <c r="P250" s="270"/>
      <c r="Q250" s="270"/>
      <c r="R250" s="153"/>
      <c r="S250" s="223"/>
      <c r="T250" s="223"/>
      <c r="U250" s="223"/>
    </row>
    <row r="251" spans="2:22" ht="15.75">
      <c r="B251" s="44"/>
      <c r="C251" s="270"/>
      <c r="D251" s="271" t="str">
        <f ca="1">"VCI = "&amp;vci</f>
        <v>VCI = 116</v>
      </c>
      <c r="E251" s="272"/>
      <c r="F251" s="270"/>
      <c r="G251" s="270"/>
      <c r="H251" s="270"/>
      <c r="I251" s="270"/>
      <c r="J251" s="270"/>
      <c r="K251" s="270"/>
      <c r="L251" s="270"/>
      <c r="M251" s="270"/>
      <c r="N251" s="270"/>
      <c r="P251" s="270"/>
      <c r="Q251" s="270"/>
      <c r="R251" s="153"/>
      <c r="S251" s="223"/>
      <c r="T251" s="223"/>
      <c r="U251" s="223"/>
    </row>
    <row r="252" spans="2:22" ht="12">
      <c r="D252" s="273" t="s">
        <v>329</v>
      </c>
      <c r="E252" s="274">
        <v>0.96</v>
      </c>
      <c r="F252" s="274"/>
      <c r="G252" s="270">
        <f ca="1">IF(COMP="","",IF(VOC="","",IF(IN="","",1.86*(COMP+VOC+IN)+44.3)))</f>
        <v>109.4</v>
      </c>
      <c r="H252" s="270"/>
      <c r="I252" s="270"/>
      <c r="J252" s="270"/>
      <c r="K252" s="270"/>
      <c r="L252" s="270"/>
      <c r="M252" s="270"/>
      <c r="N252" s="270"/>
      <c r="O252" s="270"/>
      <c r="P252" s="270"/>
      <c r="Q252" s="270"/>
      <c r="R252" s="153"/>
      <c r="S252" s="223"/>
      <c r="T252" s="223"/>
      <c r="U252" s="223"/>
    </row>
    <row r="253" spans="2:22" ht="12">
      <c r="D253" s="273" t="s">
        <v>330</v>
      </c>
      <c r="E253" s="274">
        <v>0.95</v>
      </c>
      <c r="F253" s="274"/>
      <c r="G253" s="270">
        <f ca="1">IF(COMP="","",IF(sim="","",IF(IN="","",1.89*(COMP+sim+IN)+43.4)))</f>
        <v>119</v>
      </c>
      <c r="H253" s="270"/>
      <c r="I253" s="270"/>
      <c r="J253" s="270"/>
      <c r="K253" s="270"/>
      <c r="L253" s="270"/>
      <c r="M253" s="270"/>
      <c r="N253" s="270"/>
      <c r="O253" s="270"/>
      <c r="P253" s="270"/>
      <c r="Q253" s="270"/>
      <c r="R253" s="149"/>
      <c r="U253" s="232" t="s">
        <v>11</v>
      </c>
      <c r="V253" s="223">
        <f ca="1">bd</f>
        <v>10</v>
      </c>
    </row>
    <row r="254" spans="2:22" ht="12">
      <c r="D254" s="273" t="s">
        <v>331</v>
      </c>
      <c r="E254" s="274">
        <v>0.96</v>
      </c>
      <c r="F254" s="274"/>
      <c r="G254" s="270">
        <f ca="1">IF(COMP="","",IF(VOC="","",IF(sim="","",1.84*(COMP+VOC+sim)+44.8)))</f>
        <v>116.56</v>
      </c>
      <c r="H254" s="270"/>
      <c r="I254" s="270"/>
      <c r="J254" s="270"/>
      <c r="K254" s="270"/>
      <c r="L254" s="270"/>
      <c r="M254" s="270"/>
      <c r="N254" s="270"/>
      <c r="O254" s="270"/>
      <c r="P254" s="270"/>
      <c r="Q254" s="270"/>
      <c r="U254" s="232" t="s">
        <v>10</v>
      </c>
      <c r="V254" s="223">
        <f ca="1">sim</f>
        <v>16</v>
      </c>
    </row>
    <row r="255" spans="2:22" ht="15.75">
      <c r="D255" s="271" t="str">
        <f ca="1">"PRI = "&amp;poi</f>
        <v>PRI = 109</v>
      </c>
      <c r="E255" s="275"/>
      <c r="F255" s="275"/>
      <c r="G255" s="270"/>
      <c r="H255" s="270"/>
      <c r="I255" s="270"/>
      <c r="J255" s="270"/>
      <c r="K255" s="270"/>
      <c r="L255" s="270"/>
      <c r="M255" s="270"/>
      <c r="N255" s="270"/>
      <c r="O255" s="270"/>
      <c r="P255" s="270"/>
      <c r="Q255" s="276"/>
      <c r="R255" s="277"/>
      <c r="U255" s="218" t="s">
        <v>165</v>
      </c>
      <c r="V255" s="223">
        <f ca="1">DS</f>
        <v>12</v>
      </c>
    </row>
    <row r="256" spans="2:22" ht="12">
      <c r="D256" s="278" t="s">
        <v>332</v>
      </c>
      <c r="E256" s="279">
        <v>0.95</v>
      </c>
      <c r="F256" s="279"/>
      <c r="G256" s="280">
        <f ca="1">IF(FW="","",IF(MR="","",IF(VP="","",1.98*(FW+MR+VP)+40.5)))</f>
        <v>121.67999999999999</v>
      </c>
      <c r="H256" s="270"/>
      <c r="I256" s="270"/>
      <c r="J256" s="270"/>
      <c r="K256" s="270"/>
      <c r="L256" s="270"/>
      <c r="M256" s="270"/>
      <c r="N256" s="270"/>
      <c r="O256" s="270"/>
      <c r="P256" s="270"/>
      <c r="Q256" s="270"/>
      <c r="U256" s="218" t="s">
        <v>402</v>
      </c>
      <c r="V256" s="218">
        <f ca="1">dsf</f>
        <v>18</v>
      </c>
    </row>
    <row r="257" spans="3:22" ht="12">
      <c r="D257" s="278" t="s">
        <v>333</v>
      </c>
      <c r="E257" s="279">
        <v>0.95</v>
      </c>
      <c r="F257" s="279"/>
      <c r="G257" s="280">
        <f ca="1">IF(FW="","",IF(bd="","",IF(VP="","",1.95*(FW+bd+VP)+41.4)))</f>
        <v>109.65</v>
      </c>
      <c r="H257" s="270"/>
      <c r="I257" s="270"/>
      <c r="J257" s="270"/>
      <c r="K257" s="270"/>
      <c r="L257" s="270"/>
      <c r="M257" s="270"/>
      <c r="N257" s="270"/>
      <c r="O257" s="270"/>
      <c r="P257" s="270"/>
      <c r="Q257" s="270"/>
      <c r="U257" s="218" t="s">
        <v>403</v>
      </c>
      <c r="V257" s="218">
        <f ca="1">dsb</f>
        <v>17</v>
      </c>
    </row>
    <row r="258" spans="3:22" ht="12">
      <c r="D258" s="278" t="s">
        <v>334</v>
      </c>
      <c r="E258" s="279">
        <v>0.95</v>
      </c>
      <c r="F258" s="279"/>
      <c r="G258" s="280">
        <f ca="1">IF(FW="","",IF(MR="","",IF(bd="","",1.99*(FW+MR+bd)+40.4)))</f>
        <v>123.97999999999999</v>
      </c>
      <c r="H258" s="270"/>
      <c r="I258" s="270"/>
      <c r="J258" s="270"/>
      <c r="K258" s="270"/>
      <c r="L258" s="270"/>
      <c r="M258" s="270"/>
      <c r="N258" s="270"/>
      <c r="O258" s="270"/>
      <c r="P258" s="270"/>
      <c r="Q258" s="270"/>
      <c r="U258" s="218" t="s">
        <v>404</v>
      </c>
      <c r="V258" s="218">
        <f ca="1">dssq</f>
        <v>13</v>
      </c>
    </row>
    <row r="259" spans="3:22" ht="12">
      <c r="D259" s="273" t="s">
        <v>335</v>
      </c>
      <c r="E259" s="279">
        <v>0.94</v>
      </c>
      <c r="F259" s="279"/>
      <c r="G259" s="280">
        <f ca="1">IF(PCm="","",IF(MR="","",IF(VP="","",2.07*(PCm+MR+VP)+38)))</f>
        <v>110.44999999999999</v>
      </c>
      <c r="H259" s="270"/>
      <c r="I259" s="270"/>
      <c r="J259" s="270"/>
      <c r="K259" s="270"/>
      <c r="L259" s="270"/>
      <c r="M259" s="270"/>
      <c r="N259" s="270"/>
      <c r="O259" s="270"/>
      <c r="P259" s="270"/>
      <c r="Q259" s="270"/>
      <c r="U259" s="232" t="s">
        <v>13</v>
      </c>
      <c r="V259" s="223">
        <f ca="1">MR</f>
        <v>16</v>
      </c>
    </row>
    <row r="260" spans="3:22" ht="12">
      <c r="D260" s="273" t="s">
        <v>336</v>
      </c>
      <c r="E260" s="279">
        <v>0.94</v>
      </c>
      <c r="F260" s="279"/>
      <c r="G260" s="280">
        <f ca="1">IF(bd="","",IF(PCm="","",IF(VP="","",2*(bd+PCm+VP)+39.9)))</f>
        <v>97.9</v>
      </c>
      <c r="H260" s="270"/>
      <c r="I260" s="270"/>
      <c r="J260" s="270"/>
      <c r="K260" s="270"/>
      <c r="L260" s="270"/>
      <c r="M260" s="270"/>
      <c r="N260" s="270"/>
      <c r="O260" s="270"/>
      <c r="P260" s="270"/>
      <c r="Q260" s="270"/>
      <c r="U260" s="232" t="s">
        <v>9</v>
      </c>
      <c r="V260" s="223">
        <f ca="1">VOC</f>
        <v>11</v>
      </c>
    </row>
    <row r="261" spans="3:22" ht="12">
      <c r="D261" s="273" t="s">
        <v>337</v>
      </c>
      <c r="E261" s="279">
        <v>0.93</v>
      </c>
      <c r="F261" s="279"/>
      <c r="G261" s="280">
        <f ca="1">IF(bd="","",IF(PCm="","",IF(MR="","",2.06*(bd+PCm+MR)+38.2)))</f>
        <v>112.36</v>
      </c>
      <c r="H261" s="270"/>
      <c r="I261" s="270"/>
      <c r="J261" s="270"/>
      <c r="K261" s="270"/>
      <c r="L261" s="270"/>
      <c r="M261" s="270"/>
      <c r="N261" s="270"/>
      <c r="O261" s="270"/>
      <c r="P261" s="270"/>
      <c r="Q261" s="270"/>
      <c r="U261" s="218" t="s">
        <v>167</v>
      </c>
      <c r="V261" s="223">
        <f ca="1">AR</f>
        <v>16</v>
      </c>
    </row>
    <row r="262" spans="3:22" ht="15.75">
      <c r="D262" s="271" t="str">
        <f ca="1">"WMI = "&amp;wmi</f>
        <v>WMI = 122</v>
      </c>
      <c r="E262" s="275"/>
      <c r="F262" s="275"/>
      <c r="G262" s="270"/>
      <c r="H262" s="270"/>
      <c r="I262" s="270"/>
      <c r="J262" s="270"/>
      <c r="K262" s="270"/>
      <c r="L262" s="270"/>
      <c r="M262" s="270"/>
      <c r="N262" s="270"/>
      <c r="O262" s="270"/>
      <c r="P262" s="270"/>
      <c r="Q262" s="270"/>
      <c r="U262" s="232" t="s">
        <v>18</v>
      </c>
      <c r="V262" s="223">
        <f ca="1">SS</f>
        <v>10</v>
      </c>
    </row>
    <row r="263" spans="3:22" ht="12">
      <c r="D263" s="278" t="s">
        <v>338</v>
      </c>
      <c r="E263" s="279">
        <v>0.7</v>
      </c>
      <c r="F263" s="279"/>
      <c r="G263" s="280">
        <f ca="1">IF(lns="","",IF(AR="","",2.83*(lns+AR)+43.4))</f>
        <v>119.81</v>
      </c>
      <c r="H263" s="270"/>
      <c r="I263" s="270"/>
      <c r="J263" s="270"/>
      <c r="K263" s="270"/>
      <c r="L263" s="270"/>
      <c r="M263" s="270"/>
      <c r="N263" s="270"/>
      <c r="O263" s="270"/>
      <c r="P263" s="270"/>
      <c r="Q263" s="270"/>
      <c r="U263" s="218" t="s">
        <v>311</v>
      </c>
      <c r="V263" s="218">
        <f ca="1">VP</f>
        <v>9</v>
      </c>
    </row>
    <row r="264" spans="3:22" ht="12">
      <c r="D264" s="278" t="s">
        <v>339</v>
      </c>
      <c r="E264" s="279">
        <v>0.73</v>
      </c>
      <c r="F264" s="279"/>
      <c r="G264" s="280">
        <f ca="1">IF(lns="","",IF(DS="","",2.72*(lns+DS)+45.6))</f>
        <v>108.16</v>
      </c>
      <c r="H264" s="270"/>
      <c r="I264" s="270"/>
      <c r="J264" s="270"/>
      <c r="K264" s="270"/>
      <c r="L264" s="270"/>
      <c r="M264" s="270"/>
      <c r="N264" s="270"/>
      <c r="O264" s="270"/>
      <c r="P264" s="270"/>
      <c r="Q264" s="270"/>
      <c r="S264" s="225"/>
      <c r="U264" s="232" t="s">
        <v>15</v>
      </c>
      <c r="V264" s="223">
        <f ca="1">IN</f>
        <v>12</v>
      </c>
    </row>
    <row r="265" spans="3:22" ht="15.75">
      <c r="D265" s="271" t="str">
        <f ca="1">"PSI = "&amp;psi</f>
        <v>PSI = 86</v>
      </c>
      <c r="E265" s="275"/>
      <c r="F265" s="275"/>
      <c r="G265" s="270"/>
      <c r="H265" s="270"/>
      <c r="I265" s="270"/>
      <c r="J265" s="270"/>
      <c r="K265" s="270"/>
      <c r="L265" s="270"/>
      <c r="M265" s="270"/>
      <c r="N265" s="270"/>
      <c r="O265" s="270"/>
      <c r="P265" s="270"/>
      <c r="Q265" s="276"/>
      <c r="U265" s="232" t="s">
        <v>112</v>
      </c>
      <c r="V265" s="223">
        <f ca="1">CD</f>
        <v>5</v>
      </c>
    </row>
    <row r="266" spans="3:22" ht="12">
      <c r="D266" s="278" t="s">
        <v>340</v>
      </c>
      <c r="E266" s="279">
        <v>0.65</v>
      </c>
      <c r="F266" s="279"/>
      <c r="G266" s="280">
        <f ca="1">IF(CA="","",IF(CD="","",2.97*(CA+CD)+40.7))</f>
        <v>76.34</v>
      </c>
      <c r="H266" s="270"/>
      <c r="I266" s="270"/>
      <c r="J266" s="270"/>
      <c r="K266" s="270"/>
      <c r="L266" s="270"/>
      <c r="M266" s="270"/>
      <c r="N266" s="270"/>
      <c r="O266" s="270"/>
      <c r="P266" s="270"/>
      <c r="Q266" s="270"/>
      <c r="U266" s="218" t="s">
        <v>166</v>
      </c>
      <c r="V266" s="223">
        <f ca="1">lns</f>
        <v>11</v>
      </c>
    </row>
    <row r="267" spans="3:22" ht="12">
      <c r="C267" s="270"/>
      <c r="D267" s="278" t="s">
        <v>341</v>
      </c>
      <c r="E267" s="279">
        <v>0.64</v>
      </c>
      <c r="F267" s="279"/>
      <c r="G267" s="280">
        <f ca="1">IF(CA="","",IF(SS="","",2.93*(CA+SS)+41.5))</f>
        <v>91.31</v>
      </c>
      <c r="H267" s="270"/>
      <c r="I267" s="270"/>
      <c r="J267" s="270"/>
      <c r="K267" s="270"/>
      <c r="L267" s="270"/>
      <c r="M267" s="270"/>
      <c r="N267" s="270"/>
      <c r="O267" s="270"/>
      <c r="P267" s="270"/>
      <c r="Q267" s="270"/>
      <c r="U267" s="232" t="s">
        <v>312</v>
      </c>
      <c r="V267" s="223">
        <f ca="1">FW</f>
        <v>16</v>
      </c>
    </row>
    <row r="268" spans="3:22" ht="12">
      <c r="U268" s="232" t="s">
        <v>17</v>
      </c>
      <c r="V268" s="223">
        <f ca="1">COMP</f>
        <v>12</v>
      </c>
    </row>
    <row r="269" spans="3:22" ht="12">
      <c r="Q269" s="33"/>
      <c r="U269" s="232" t="s">
        <v>168</v>
      </c>
      <c r="V269" s="223">
        <f ca="1">CA</f>
        <v>7</v>
      </c>
    </row>
    <row r="270" spans="3:22" ht="12">
      <c r="Q270" s="33"/>
      <c r="U270" s="232" t="s">
        <v>5</v>
      </c>
      <c r="V270" s="223">
        <f ca="1">PCm</f>
        <v>10</v>
      </c>
    </row>
    <row r="271" spans="3:22" ht="12">
      <c r="Q271" s="33"/>
      <c r="U271" s="232"/>
      <c r="V271" s="223"/>
    </row>
    <row r="272" spans="3:22">
      <c r="Q272" s="33"/>
    </row>
    <row r="328" spans="3:51">
      <c r="I328" s="281"/>
    </row>
    <row r="329" spans="3:51">
      <c r="I329" s="281" t="s">
        <v>0</v>
      </c>
    </row>
    <row r="330" spans="3:51">
      <c r="I330" s="281"/>
    </row>
    <row r="331" spans="3:51">
      <c r="C331" s="4"/>
      <c r="D331" s="4"/>
      <c r="E331" s="4"/>
      <c r="G331" s="4"/>
      <c r="H331" s="4"/>
      <c r="I331" s="4"/>
      <c r="J331" s="4"/>
      <c r="K331" s="4"/>
      <c r="L331" s="4"/>
      <c r="M331" s="4"/>
      <c r="N331" s="4"/>
      <c r="S331" s="222"/>
      <c r="T331" s="222"/>
      <c r="Y331" s="222"/>
      <c r="Z331" s="222"/>
      <c r="AE331" s="222"/>
      <c r="AF331" s="222"/>
      <c r="AH331" s="222"/>
      <c r="AI331" s="222"/>
      <c r="AK331" s="222"/>
      <c r="AL331" s="222"/>
      <c r="AN331" s="222"/>
      <c r="AO331" s="222"/>
      <c r="AW331" s="222" t="s">
        <v>0</v>
      </c>
      <c r="AX331" s="222" t="s">
        <v>0</v>
      </c>
    </row>
    <row r="332" spans="3:51">
      <c r="C332" s="4"/>
      <c r="D332" s="4"/>
      <c r="E332" s="4"/>
      <c r="G332" s="4"/>
      <c r="H332" s="4"/>
      <c r="I332" s="4"/>
      <c r="J332" s="4"/>
      <c r="K332" s="4"/>
      <c r="L332" s="4"/>
      <c r="M332" s="4"/>
      <c r="N332" s="4"/>
      <c r="S332" s="222"/>
      <c r="T332" s="222"/>
      <c r="Y332" s="222"/>
      <c r="Z332" s="222"/>
      <c r="AE332" s="222"/>
      <c r="AF332" s="222"/>
      <c r="AH332" s="222"/>
      <c r="AI332" s="222"/>
      <c r="AK332" s="222"/>
      <c r="AL332" s="222"/>
      <c r="AN332" s="222"/>
      <c r="AO332" s="222"/>
      <c r="AW332" s="222">
        <f>$I$221</f>
        <v>0</v>
      </c>
      <c r="AX332" s="222">
        <f>$I$222</f>
        <v>0</v>
      </c>
    </row>
    <row r="333" spans="3:51" s="218" customFormat="1" hidden="1">
      <c r="AV333" s="218" t="s">
        <v>0</v>
      </c>
      <c r="AW333" s="218" t="s">
        <v>57</v>
      </c>
      <c r="AX333" s="218" t="s">
        <v>58</v>
      </c>
      <c r="AY333" s="218" t="s">
        <v>0</v>
      </c>
    </row>
    <row r="334" spans="3:51" s="218" customFormat="1" hidden="1">
      <c r="AW334" s="218">
        <f>AVERAGE($AW$332:$AX$332)</f>
        <v>0</v>
      </c>
      <c r="AX334" s="218">
        <f>AVERAGE($AW$332:$AX$332)</f>
        <v>0</v>
      </c>
    </row>
    <row r="335" spans="3:51" s="218" customFormat="1" hidden="1">
      <c r="P335" s="222"/>
      <c r="Q335" s="222"/>
      <c r="S335" s="222"/>
      <c r="T335" s="222"/>
      <c r="V335" s="222"/>
      <c r="W335" s="222"/>
      <c r="Y335" s="222"/>
      <c r="Z335" s="222"/>
      <c r="AB335" s="222"/>
      <c r="AC335" s="222"/>
      <c r="AE335" s="222"/>
      <c r="AF335" s="222"/>
    </row>
    <row r="336" spans="3:51" s="218" customFormat="1" hidden="1"/>
    <row r="337" spans="1:124" s="218" customFormat="1" hidden="1"/>
    <row r="338" spans="1:124" s="217" customFormat="1" hidden="1">
      <c r="A338" s="217" t="s">
        <v>32</v>
      </c>
      <c r="B338" s="217">
        <v>40</v>
      </c>
      <c r="C338" s="217">
        <v>62</v>
      </c>
      <c r="D338" s="217">
        <v>68</v>
      </c>
      <c r="E338" s="217">
        <v>71</v>
      </c>
      <c r="F338" s="217">
        <v>73</v>
      </c>
      <c r="G338" s="217">
        <v>75</v>
      </c>
      <c r="H338" s="217">
        <v>77</v>
      </c>
      <c r="I338" s="217">
        <v>78</v>
      </c>
      <c r="J338" s="217">
        <v>79</v>
      </c>
      <c r="K338" s="217">
        <v>80</v>
      </c>
      <c r="L338" s="217">
        <v>81</v>
      </c>
      <c r="M338" s="217">
        <v>82</v>
      </c>
      <c r="N338" s="217">
        <v>83</v>
      </c>
      <c r="O338" s="217">
        <v>84</v>
      </c>
      <c r="P338" s="217">
        <v>85</v>
      </c>
      <c r="Q338" s="217">
        <v>86</v>
      </c>
      <c r="R338" s="217">
        <v>87</v>
      </c>
      <c r="S338" s="217">
        <v>88</v>
      </c>
      <c r="T338" s="217">
        <v>89</v>
      </c>
      <c r="U338" s="217">
        <v>90</v>
      </c>
      <c r="V338" s="217">
        <v>91</v>
      </c>
      <c r="W338" s="217">
        <v>92</v>
      </c>
      <c r="X338" s="217">
        <v>93</v>
      </c>
      <c r="Y338" s="217">
        <v>94</v>
      </c>
      <c r="Z338" s="217">
        <v>95</v>
      </c>
      <c r="AA338" s="217">
        <v>96</v>
      </c>
      <c r="AB338" s="217">
        <v>97</v>
      </c>
      <c r="AC338" s="217">
        <v>98</v>
      </c>
      <c r="AD338" s="217">
        <v>99</v>
      </c>
      <c r="AE338" s="217">
        <v>100</v>
      </c>
      <c r="AF338" s="217">
        <v>101</v>
      </c>
      <c r="AG338" s="217">
        <v>102</v>
      </c>
      <c r="AH338" s="217">
        <v>103</v>
      </c>
      <c r="AI338" s="217">
        <v>104</v>
      </c>
      <c r="AJ338" s="217">
        <v>105</v>
      </c>
      <c r="AK338" s="217">
        <v>106</v>
      </c>
      <c r="AL338" s="217">
        <v>107</v>
      </c>
      <c r="AM338" s="217">
        <v>108</v>
      </c>
      <c r="AN338" s="217">
        <v>109</v>
      </c>
      <c r="AO338" s="217">
        <v>110</v>
      </c>
      <c r="AP338" s="217">
        <v>111</v>
      </c>
      <c r="AQ338" s="217">
        <v>112</v>
      </c>
      <c r="AR338" s="217">
        <v>113</v>
      </c>
      <c r="AS338" s="217">
        <v>114</v>
      </c>
      <c r="AT338" s="217">
        <v>115</v>
      </c>
      <c r="AU338" s="217">
        <v>116</v>
      </c>
      <c r="AV338" s="217">
        <v>117</v>
      </c>
      <c r="AW338" s="217">
        <v>118</v>
      </c>
      <c r="AX338" s="217">
        <v>119</v>
      </c>
      <c r="AY338" s="217">
        <v>120</v>
      </c>
      <c r="AZ338" s="217">
        <v>121</v>
      </c>
      <c r="BA338" s="217">
        <v>122</v>
      </c>
      <c r="BB338" s="217">
        <v>123</v>
      </c>
      <c r="BC338" s="217">
        <v>124</v>
      </c>
      <c r="BD338" s="217">
        <v>126</v>
      </c>
      <c r="BE338" s="217">
        <v>127</v>
      </c>
      <c r="BF338" s="217">
        <v>128</v>
      </c>
      <c r="BG338" s="217">
        <v>129</v>
      </c>
      <c r="BH338" s="217">
        <v>130</v>
      </c>
      <c r="BI338" s="217">
        <f>BH338+1</f>
        <v>131</v>
      </c>
      <c r="BJ338" s="217">
        <f t="shared" ref="BJ338:CM338" si="13">BI338+1</f>
        <v>132</v>
      </c>
      <c r="BK338" s="217">
        <f t="shared" si="13"/>
        <v>133</v>
      </c>
      <c r="BL338" s="217">
        <f t="shared" si="13"/>
        <v>134</v>
      </c>
      <c r="BM338" s="217">
        <f t="shared" si="13"/>
        <v>135</v>
      </c>
      <c r="BN338" s="217">
        <f t="shared" si="13"/>
        <v>136</v>
      </c>
      <c r="BO338" s="217">
        <f t="shared" si="13"/>
        <v>137</v>
      </c>
      <c r="BP338" s="217">
        <f t="shared" si="13"/>
        <v>138</v>
      </c>
      <c r="BQ338" s="217">
        <f t="shared" si="13"/>
        <v>139</v>
      </c>
      <c r="BR338" s="217">
        <f t="shared" si="13"/>
        <v>140</v>
      </c>
      <c r="BS338" s="217">
        <f t="shared" si="13"/>
        <v>141</v>
      </c>
      <c r="BT338" s="217">
        <f t="shared" si="13"/>
        <v>142</v>
      </c>
      <c r="BU338" s="217">
        <f t="shared" si="13"/>
        <v>143</v>
      </c>
      <c r="BV338" s="217">
        <f t="shared" si="13"/>
        <v>144</v>
      </c>
      <c r="BW338" s="217">
        <f t="shared" si="13"/>
        <v>145</v>
      </c>
      <c r="BX338" s="217">
        <f t="shared" si="13"/>
        <v>146</v>
      </c>
      <c r="BY338" s="217">
        <f t="shared" si="13"/>
        <v>147</v>
      </c>
      <c r="BZ338" s="217">
        <f t="shared" si="13"/>
        <v>148</v>
      </c>
      <c r="CA338" s="217">
        <f t="shared" si="13"/>
        <v>149</v>
      </c>
      <c r="CB338" s="217">
        <f t="shared" si="13"/>
        <v>150</v>
      </c>
      <c r="CC338" s="217">
        <f t="shared" si="13"/>
        <v>151</v>
      </c>
      <c r="CD338" s="217">
        <f t="shared" si="13"/>
        <v>152</v>
      </c>
      <c r="CE338" s="217">
        <f t="shared" si="13"/>
        <v>153</v>
      </c>
      <c r="CF338" s="217">
        <f t="shared" si="13"/>
        <v>154</v>
      </c>
      <c r="CG338" s="217">
        <f t="shared" si="13"/>
        <v>155</v>
      </c>
      <c r="CH338" s="217">
        <f t="shared" si="13"/>
        <v>156</v>
      </c>
      <c r="CI338" s="217">
        <f t="shared" si="13"/>
        <v>157</v>
      </c>
      <c r="CJ338" s="217">
        <f>CI338+1</f>
        <v>158</v>
      </c>
      <c r="CK338" s="217">
        <f t="shared" si="13"/>
        <v>159</v>
      </c>
      <c r="CL338" s="217">
        <f t="shared" si="13"/>
        <v>160</v>
      </c>
      <c r="CM338" s="217">
        <f t="shared" si="13"/>
        <v>161</v>
      </c>
    </row>
    <row r="339" spans="1:124" s="217" customFormat="1" hidden="1">
      <c r="A339" s="217" t="s">
        <v>144</v>
      </c>
      <c r="B339" s="217">
        <v>1</v>
      </c>
      <c r="C339" s="217">
        <v>1</v>
      </c>
      <c r="D339" s="217">
        <v>2</v>
      </c>
      <c r="E339" s="217">
        <v>3</v>
      </c>
      <c r="F339" s="217">
        <v>4</v>
      </c>
      <c r="G339" s="217">
        <v>5</v>
      </c>
      <c r="H339" s="217">
        <v>6</v>
      </c>
      <c r="I339" s="217">
        <v>7</v>
      </c>
      <c r="J339" s="217">
        <v>8</v>
      </c>
      <c r="K339" s="217">
        <v>9</v>
      </c>
      <c r="L339" s="217">
        <v>10</v>
      </c>
      <c r="M339" s="217">
        <v>12</v>
      </c>
      <c r="N339" s="217">
        <v>13</v>
      </c>
      <c r="O339" s="217">
        <v>14</v>
      </c>
      <c r="P339" s="217">
        <v>16</v>
      </c>
      <c r="Q339" s="217">
        <v>18</v>
      </c>
      <c r="R339" s="217">
        <v>19</v>
      </c>
      <c r="S339" s="217">
        <v>21</v>
      </c>
      <c r="T339" s="217">
        <v>23</v>
      </c>
      <c r="U339" s="217">
        <v>25</v>
      </c>
      <c r="V339" s="217">
        <v>27</v>
      </c>
      <c r="W339" s="217">
        <v>30</v>
      </c>
      <c r="X339" s="217">
        <v>32</v>
      </c>
      <c r="Y339" s="217">
        <v>34</v>
      </c>
      <c r="Z339" s="217">
        <v>37</v>
      </c>
      <c r="AA339" s="217">
        <v>39</v>
      </c>
      <c r="AB339" s="217">
        <v>42</v>
      </c>
      <c r="AC339" s="217">
        <v>45</v>
      </c>
      <c r="AD339" s="217">
        <v>47</v>
      </c>
      <c r="AE339" s="217">
        <v>50</v>
      </c>
      <c r="AF339" s="217">
        <v>53</v>
      </c>
      <c r="AG339" s="217">
        <v>55</v>
      </c>
      <c r="AH339" s="217">
        <v>58</v>
      </c>
      <c r="AI339" s="217">
        <v>61</v>
      </c>
      <c r="AJ339" s="217">
        <v>63</v>
      </c>
      <c r="AK339" s="217">
        <v>66</v>
      </c>
      <c r="AL339" s="217">
        <v>68</v>
      </c>
      <c r="AM339" s="217">
        <v>70</v>
      </c>
      <c r="AN339" s="217">
        <v>73</v>
      </c>
      <c r="AO339" s="217">
        <v>75</v>
      </c>
      <c r="AP339" s="217">
        <v>77</v>
      </c>
      <c r="AQ339" s="217">
        <v>79</v>
      </c>
      <c r="AR339" s="217">
        <v>81</v>
      </c>
      <c r="AS339" s="217">
        <v>82</v>
      </c>
      <c r="AT339" s="217">
        <v>84</v>
      </c>
      <c r="AU339" s="217">
        <v>86</v>
      </c>
      <c r="AV339" s="217">
        <v>87</v>
      </c>
      <c r="AW339" s="217">
        <v>88</v>
      </c>
      <c r="AX339" s="217">
        <v>90</v>
      </c>
      <c r="AY339" s="217">
        <v>91</v>
      </c>
      <c r="AZ339" s="217">
        <v>92</v>
      </c>
      <c r="BA339" s="217">
        <v>93</v>
      </c>
      <c r="BB339" s="217">
        <v>94</v>
      </c>
      <c r="BC339" s="217">
        <v>95</v>
      </c>
      <c r="BD339" s="217">
        <v>96</v>
      </c>
      <c r="BE339" s="217">
        <v>96</v>
      </c>
      <c r="BF339" s="217">
        <v>97</v>
      </c>
      <c r="BG339" s="217">
        <v>98</v>
      </c>
      <c r="BH339" s="217">
        <v>98</v>
      </c>
      <c r="BI339" s="217">
        <v>98</v>
      </c>
      <c r="BJ339" s="217">
        <v>98</v>
      </c>
      <c r="BK339" s="217">
        <v>99</v>
      </c>
      <c r="BL339" s="217">
        <v>99</v>
      </c>
      <c r="BM339" s="217">
        <v>99</v>
      </c>
      <c r="BN339" s="217">
        <v>99</v>
      </c>
      <c r="BO339" s="217">
        <v>99</v>
      </c>
      <c r="BP339" s="217">
        <v>99</v>
      </c>
      <c r="BQ339" s="217">
        <v>99</v>
      </c>
      <c r="BR339" s="217">
        <v>99</v>
      </c>
      <c r="BS339" s="217">
        <v>99</v>
      </c>
      <c r="BT339" s="217">
        <v>99</v>
      </c>
      <c r="BU339" s="217">
        <v>99</v>
      </c>
      <c r="BV339" s="217">
        <v>99</v>
      </c>
      <c r="BW339" s="217">
        <v>99</v>
      </c>
      <c r="BX339" s="217">
        <v>99</v>
      </c>
      <c r="BY339" s="217">
        <v>99</v>
      </c>
      <c r="BZ339" s="217">
        <v>99</v>
      </c>
      <c r="CA339" s="217">
        <v>99</v>
      </c>
      <c r="CB339" s="217">
        <v>99</v>
      </c>
      <c r="CC339" s="217">
        <v>99</v>
      </c>
      <c r="CD339" s="217">
        <v>99</v>
      </c>
      <c r="CE339" s="217">
        <v>99</v>
      </c>
      <c r="CF339" s="217">
        <v>99</v>
      </c>
      <c r="CG339" s="217">
        <v>99</v>
      </c>
      <c r="CH339" s="217">
        <v>99</v>
      </c>
      <c r="CI339" s="217">
        <v>99</v>
      </c>
      <c r="CJ339" s="217">
        <v>99</v>
      </c>
      <c r="CK339" s="217">
        <v>99</v>
      </c>
      <c r="CL339" s="217">
        <v>99</v>
      </c>
      <c r="CM339" s="217">
        <v>99</v>
      </c>
    </row>
    <row r="340" spans="1:124" s="218" customFormat="1" hidden="1"/>
    <row r="341" spans="1:124" s="218" customFormat="1" hidden="1"/>
    <row r="342" spans="1:124" s="218" customFormat="1" hidden="1">
      <c r="C342" s="225" t="s">
        <v>59</v>
      </c>
      <c r="D342" s="222">
        <v>1</v>
      </c>
      <c r="E342" s="222">
        <v>12</v>
      </c>
      <c r="F342" s="222">
        <v>13</v>
      </c>
      <c r="G342" s="222">
        <v>14</v>
      </c>
      <c r="H342" s="222">
        <v>15</v>
      </c>
      <c r="I342" s="222">
        <v>16</v>
      </c>
      <c r="J342" s="222">
        <v>17</v>
      </c>
      <c r="K342" s="222">
        <v>18</v>
      </c>
      <c r="L342" s="222">
        <v>19</v>
      </c>
      <c r="M342" s="222">
        <v>20</v>
      </c>
      <c r="N342" s="222">
        <v>21</v>
      </c>
      <c r="O342" s="222">
        <v>22</v>
      </c>
      <c r="P342" s="222">
        <v>23</v>
      </c>
      <c r="Q342" s="222">
        <v>24</v>
      </c>
      <c r="R342" s="222">
        <v>25</v>
      </c>
      <c r="S342" s="222">
        <v>26</v>
      </c>
      <c r="T342" s="222">
        <v>27</v>
      </c>
      <c r="U342" s="222">
        <v>28</v>
      </c>
      <c r="V342" s="222">
        <v>31</v>
      </c>
      <c r="W342" s="222">
        <v>34</v>
      </c>
    </row>
    <row r="343" spans="1:124" s="218" customFormat="1" hidden="1">
      <c r="C343" s="225" t="s">
        <v>3</v>
      </c>
      <c r="D343" s="222">
        <v>50</v>
      </c>
      <c r="E343" s="222">
        <v>34</v>
      </c>
      <c r="F343" s="222">
        <v>31</v>
      </c>
      <c r="G343" s="222">
        <v>28</v>
      </c>
      <c r="H343" s="222">
        <v>24</v>
      </c>
      <c r="I343" s="222">
        <v>22</v>
      </c>
      <c r="J343" s="222">
        <v>18</v>
      </c>
      <c r="K343" s="222">
        <v>16</v>
      </c>
      <c r="L343" s="222">
        <v>14</v>
      </c>
      <c r="M343" s="222">
        <v>12</v>
      </c>
      <c r="N343" s="222">
        <v>10</v>
      </c>
      <c r="O343" s="222">
        <v>8</v>
      </c>
      <c r="P343" s="222">
        <v>7</v>
      </c>
      <c r="Q343" s="222">
        <v>6</v>
      </c>
      <c r="R343" s="222">
        <v>5</v>
      </c>
      <c r="S343" s="222">
        <v>4</v>
      </c>
      <c r="T343" s="222">
        <v>3</v>
      </c>
      <c r="U343" s="222">
        <v>2</v>
      </c>
      <c r="V343" s="222">
        <v>1</v>
      </c>
      <c r="W343" s="222">
        <v>0.5</v>
      </c>
    </row>
    <row r="344" spans="1:124" s="218" customFormat="1" hidden="1">
      <c r="C344" s="225" t="s">
        <v>32</v>
      </c>
      <c r="D344" s="222">
        <v>1</v>
      </c>
      <c r="E344" s="222">
        <v>2</v>
      </c>
      <c r="F344" s="222">
        <v>3</v>
      </c>
      <c r="G344" s="222">
        <v>4</v>
      </c>
      <c r="H344" s="222">
        <v>5</v>
      </c>
      <c r="I344" s="222">
        <v>6</v>
      </c>
      <c r="J344" s="222">
        <v>7</v>
      </c>
      <c r="K344" s="222">
        <v>8</v>
      </c>
      <c r="L344" s="222">
        <v>9</v>
      </c>
      <c r="M344" s="222">
        <v>10</v>
      </c>
      <c r="N344" s="222">
        <v>11</v>
      </c>
      <c r="O344" s="222">
        <v>12</v>
      </c>
      <c r="P344" s="222">
        <v>13</v>
      </c>
      <c r="Q344" s="222">
        <v>14</v>
      </c>
      <c r="R344" s="222">
        <v>15</v>
      </c>
      <c r="S344" s="222">
        <v>16</v>
      </c>
      <c r="T344" s="222">
        <v>17</v>
      </c>
      <c r="U344" s="222">
        <v>18</v>
      </c>
      <c r="V344" s="222">
        <v>19</v>
      </c>
      <c r="W344" s="222"/>
    </row>
    <row r="345" spans="1:124" s="218" customFormat="1" hidden="1">
      <c r="C345" s="225" t="s">
        <v>3</v>
      </c>
      <c r="D345" s="222">
        <v>0.1</v>
      </c>
      <c r="E345" s="222">
        <v>0.4</v>
      </c>
      <c r="F345" s="222">
        <v>1</v>
      </c>
      <c r="G345" s="222">
        <v>2</v>
      </c>
      <c r="H345" s="222">
        <v>5</v>
      </c>
      <c r="I345" s="222">
        <v>9</v>
      </c>
      <c r="J345" s="222">
        <v>16</v>
      </c>
      <c r="K345" s="222">
        <v>25</v>
      </c>
      <c r="L345" s="222">
        <v>37</v>
      </c>
      <c r="M345" s="222">
        <v>50</v>
      </c>
      <c r="N345" s="222">
        <v>63</v>
      </c>
      <c r="O345" s="222">
        <v>75</v>
      </c>
      <c r="P345" s="222">
        <v>84</v>
      </c>
      <c r="Q345" s="222">
        <v>91</v>
      </c>
      <c r="R345" s="222">
        <v>95</v>
      </c>
      <c r="S345" s="222">
        <v>98</v>
      </c>
      <c r="T345" s="222">
        <v>99</v>
      </c>
      <c r="U345" s="222">
        <v>99.599999999999</v>
      </c>
      <c r="V345" s="222">
        <v>99.9</v>
      </c>
    </row>
    <row r="346" spans="1:124" s="218" customFormat="1" hidden="1"/>
    <row r="347" spans="1:124" s="218" customFormat="1" hidden="1"/>
    <row r="348" spans="1:124" s="218" customFormat="1" hidden="1">
      <c r="C348" s="225" t="s">
        <v>3</v>
      </c>
      <c r="D348" s="222">
        <v>1</v>
      </c>
      <c r="E348" s="222">
        <v>1</v>
      </c>
      <c r="F348" s="222">
        <v>1</v>
      </c>
      <c r="G348" s="222">
        <v>1</v>
      </c>
      <c r="H348" s="222">
        <v>1</v>
      </c>
      <c r="I348" s="222">
        <v>1</v>
      </c>
      <c r="J348" s="222">
        <v>1</v>
      </c>
      <c r="K348" s="222">
        <v>1</v>
      </c>
      <c r="L348" s="222">
        <v>1</v>
      </c>
      <c r="M348" s="222">
        <v>1</v>
      </c>
      <c r="N348" s="222">
        <v>1</v>
      </c>
      <c r="O348" s="222">
        <v>1</v>
      </c>
      <c r="P348" s="222">
        <v>1</v>
      </c>
      <c r="Q348" s="222">
        <v>1</v>
      </c>
      <c r="R348" s="222">
        <v>1</v>
      </c>
      <c r="S348" s="222">
        <v>1</v>
      </c>
      <c r="T348" s="222">
        <v>1</v>
      </c>
      <c r="U348" s="222">
        <v>1</v>
      </c>
      <c r="V348" s="222">
        <v>2</v>
      </c>
      <c r="W348" s="222">
        <v>2</v>
      </c>
      <c r="X348" s="222">
        <v>2</v>
      </c>
      <c r="Y348" s="222">
        <v>2</v>
      </c>
      <c r="Z348" s="222">
        <v>4</v>
      </c>
      <c r="AA348" s="222">
        <v>4</v>
      </c>
      <c r="AB348" s="222">
        <v>5</v>
      </c>
      <c r="AC348" s="222">
        <v>6</v>
      </c>
      <c r="AD348" s="222">
        <v>7</v>
      </c>
      <c r="AE348" s="222">
        <v>8</v>
      </c>
      <c r="AF348" s="222">
        <v>9</v>
      </c>
      <c r="AG348" s="222">
        <v>10</v>
      </c>
      <c r="AH348" s="222">
        <v>12</v>
      </c>
      <c r="AI348" s="222">
        <v>12</v>
      </c>
      <c r="AJ348" s="222">
        <v>16</v>
      </c>
      <c r="AK348" s="222">
        <v>18</v>
      </c>
      <c r="AL348" s="222">
        <v>19</v>
      </c>
      <c r="AM348" s="222">
        <v>21</v>
      </c>
      <c r="AN348" s="222">
        <v>25</v>
      </c>
      <c r="AO348" s="222">
        <v>27</v>
      </c>
      <c r="AP348" s="222">
        <v>30</v>
      </c>
      <c r="AQ348" s="222">
        <v>34</v>
      </c>
      <c r="AR348" s="222">
        <v>37</v>
      </c>
      <c r="AS348" s="222">
        <v>40</v>
      </c>
      <c r="AT348" s="222">
        <v>42</v>
      </c>
      <c r="AU348" s="222">
        <v>45</v>
      </c>
      <c r="AV348" s="222">
        <v>50</v>
      </c>
      <c r="AW348" s="222">
        <v>53</v>
      </c>
      <c r="AX348" s="222">
        <v>55</v>
      </c>
      <c r="AY348" s="222">
        <v>58</v>
      </c>
      <c r="AZ348" s="222">
        <v>63</v>
      </c>
      <c r="BA348" s="222">
        <v>66</v>
      </c>
      <c r="BB348" s="222">
        <v>68</v>
      </c>
      <c r="BC348" s="222">
        <v>70</v>
      </c>
      <c r="BD348" s="222">
        <v>73</v>
      </c>
      <c r="BE348" s="222">
        <v>77</v>
      </c>
      <c r="BF348" s="222">
        <v>79</v>
      </c>
      <c r="BG348" s="222">
        <v>81</v>
      </c>
      <c r="BH348" s="222">
        <v>82</v>
      </c>
      <c r="BI348" s="222">
        <v>84</v>
      </c>
      <c r="BJ348" s="222">
        <v>87</v>
      </c>
      <c r="BK348" s="222">
        <v>66</v>
      </c>
      <c r="BL348" s="222">
        <v>90</v>
      </c>
      <c r="BM348" s="222">
        <v>91</v>
      </c>
      <c r="BN348" s="222">
        <v>93</v>
      </c>
      <c r="BO348" s="222">
        <v>94</v>
      </c>
      <c r="BP348" s="222">
        <v>95</v>
      </c>
      <c r="BQ348" s="222">
        <v>96</v>
      </c>
      <c r="BR348" s="222">
        <v>97</v>
      </c>
      <c r="BS348" s="222">
        <v>97</v>
      </c>
      <c r="BT348" s="222">
        <v>98</v>
      </c>
      <c r="BU348" s="222">
        <v>98</v>
      </c>
      <c r="BV348" s="222">
        <v>99</v>
      </c>
      <c r="BW348" s="222">
        <v>99</v>
      </c>
      <c r="BX348" s="222">
        <v>99</v>
      </c>
      <c r="BY348" s="222">
        <v>99</v>
      </c>
      <c r="BZ348" s="222">
        <v>99</v>
      </c>
      <c r="CA348" s="222">
        <v>99</v>
      </c>
      <c r="CB348" s="222">
        <v>99</v>
      </c>
      <c r="CC348" s="222">
        <v>99</v>
      </c>
      <c r="CD348" s="222">
        <v>99</v>
      </c>
      <c r="CE348" s="222">
        <v>99</v>
      </c>
      <c r="CF348" s="222">
        <v>99</v>
      </c>
      <c r="CG348" s="222">
        <v>99</v>
      </c>
      <c r="CH348" s="222">
        <v>99</v>
      </c>
      <c r="CI348" s="222">
        <v>99</v>
      </c>
      <c r="CJ348" s="222">
        <v>99</v>
      </c>
      <c r="CK348" s="222">
        <v>99</v>
      </c>
      <c r="CL348" s="222">
        <v>99</v>
      </c>
      <c r="CM348" s="222">
        <v>99</v>
      </c>
      <c r="CN348" s="222">
        <v>99</v>
      </c>
    </row>
    <row r="349" spans="1:124" s="218" customFormat="1" hidden="1">
      <c r="C349" s="225" t="s">
        <v>60</v>
      </c>
      <c r="D349" s="222">
        <v>9</v>
      </c>
      <c r="E349" s="222">
        <v>10</v>
      </c>
      <c r="F349" s="222">
        <v>11</v>
      </c>
      <c r="G349" s="222">
        <v>12</v>
      </c>
      <c r="H349" s="222">
        <v>13</v>
      </c>
      <c r="I349" s="222">
        <v>14</v>
      </c>
      <c r="J349" s="222">
        <v>15</v>
      </c>
      <c r="K349" s="222">
        <v>16</v>
      </c>
      <c r="L349" s="222">
        <v>17</v>
      </c>
      <c r="M349" s="222">
        <v>18</v>
      </c>
      <c r="N349" s="222">
        <v>19</v>
      </c>
      <c r="O349" s="222">
        <v>20</v>
      </c>
      <c r="P349" s="222">
        <v>21</v>
      </c>
      <c r="Q349" s="222">
        <v>22</v>
      </c>
      <c r="R349" s="222">
        <v>23</v>
      </c>
      <c r="S349" s="222">
        <v>24</v>
      </c>
      <c r="T349" s="222">
        <v>25</v>
      </c>
      <c r="U349" s="222">
        <v>26</v>
      </c>
      <c r="V349" s="222">
        <v>27</v>
      </c>
      <c r="W349" s="222">
        <v>28</v>
      </c>
      <c r="X349" s="222">
        <v>29</v>
      </c>
      <c r="Y349" s="222">
        <v>30</v>
      </c>
      <c r="Z349" s="222">
        <v>31</v>
      </c>
      <c r="AA349" s="222">
        <v>32</v>
      </c>
      <c r="AB349" s="222">
        <v>33</v>
      </c>
      <c r="AC349" s="222">
        <v>34</v>
      </c>
      <c r="AD349" s="222">
        <v>35</v>
      </c>
      <c r="AE349" s="222">
        <v>36</v>
      </c>
      <c r="AF349" s="222">
        <v>37</v>
      </c>
      <c r="AG349" s="222">
        <v>38</v>
      </c>
      <c r="AH349" s="222">
        <v>39</v>
      </c>
      <c r="AI349" s="222">
        <v>40</v>
      </c>
      <c r="AJ349" s="222">
        <v>41</v>
      </c>
      <c r="AK349" s="222">
        <v>42</v>
      </c>
      <c r="AL349" s="222">
        <v>43</v>
      </c>
      <c r="AM349" s="222">
        <v>44</v>
      </c>
      <c r="AN349" s="222">
        <v>45</v>
      </c>
      <c r="AO349" s="222">
        <v>46</v>
      </c>
      <c r="AP349" s="222">
        <v>47</v>
      </c>
      <c r="AQ349" s="222">
        <v>48</v>
      </c>
      <c r="AR349" s="222">
        <v>49</v>
      </c>
      <c r="AS349" s="222">
        <v>50</v>
      </c>
      <c r="AT349" s="222">
        <v>51</v>
      </c>
      <c r="AU349" s="222">
        <v>52</v>
      </c>
      <c r="AV349" s="222">
        <v>53</v>
      </c>
      <c r="AW349" s="222">
        <v>54</v>
      </c>
      <c r="AX349" s="222">
        <v>55</v>
      </c>
      <c r="AY349" s="222">
        <v>56</v>
      </c>
      <c r="AZ349" s="222">
        <v>57</v>
      </c>
      <c r="BA349" s="222">
        <v>58</v>
      </c>
      <c r="BB349" s="222">
        <v>59</v>
      </c>
      <c r="BC349" s="222">
        <v>60</v>
      </c>
      <c r="BD349" s="222">
        <v>61</v>
      </c>
      <c r="BE349" s="222">
        <v>62</v>
      </c>
      <c r="BF349" s="222">
        <v>63</v>
      </c>
      <c r="BG349" s="222">
        <v>64</v>
      </c>
      <c r="BH349" s="222">
        <v>65</v>
      </c>
      <c r="BI349" s="222">
        <v>66</v>
      </c>
      <c r="BJ349" s="222">
        <v>67</v>
      </c>
      <c r="BK349" s="222">
        <v>68</v>
      </c>
      <c r="BL349" s="222">
        <v>69</v>
      </c>
      <c r="BM349" s="222">
        <v>70</v>
      </c>
      <c r="BN349" s="222">
        <v>71</v>
      </c>
      <c r="BO349" s="222">
        <v>72</v>
      </c>
      <c r="BP349" s="222">
        <v>73</v>
      </c>
      <c r="BQ349" s="222">
        <v>74</v>
      </c>
      <c r="BR349" s="222">
        <v>75</v>
      </c>
      <c r="BS349" s="222">
        <v>76</v>
      </c>
      <c r="BT349" s="222">
        <v>77</v>
      </c>
      <c r="BU349" s="222">
        <v>78</v>
      </c>
      <c r="BV349" s="222">
        <v>79</v>
      </c>
      <c r="BW349" s="222">
        <v>80</v>
      </c>
      <c r="BX349" s="222">
        <v>81</v>
      </c>
      <c r="BY349" s="222">
        <v>82</v>
      </c>
      <c r="BZ349" s="222">
        <v>83</v>
      </c>
      <c r="CA349" s="222">
        <v>84</v>
      </c>
      <c r="CB349" s="222">
        <v>85</v>
      </c>
      <c r="CC349" s="222">
        <v>86</v>
      </c>
      <c r="CD349" s="222">
        <v>87</v>
      </c>
      <c r="CE349" s="222">
        <v>88</v>
      </c>
      <c r="CF349" s="222">
        <v>89</v>
      </c>
      <c r="CG349" s="222">
        <v>90</v>
      </c>
    </row>
    <row r="350" spans="1:124" s="218" customFormat="1" hidden="1">
      <c r="C350" s="225" t="s">
        <v>149</v>
      </c>
      <c r="D350" s="222">
        <v>45</v>
      </c>
      <c r="E350" s="222">
        <v>46</v>
      </c>
      <c r="F350" s="222">
        <v>48</v>
      </c>
      <c r="G350" s="222">
        <v>49</v>
      </c>
      <c r="H350" s="222">
        <v>51</v>
      </c>
      <c r="I350" s="222">
        <v>52</v>
      </c>
      <c r="J350" s="222">
        <v>54</v>
      </c>
      <c r="K350" s="222">
        <v>55</v>
      </c>
      <c r="L350" s="222">
        <v>57</v>
      </c>
      <c r="M350" s="222">
        <v>58</v>
      </c>
      <c r="N350" s="222">
        <v>60</v>
      </c>
      <c r="O350" s="222">
        <v>61</v>
      </c>
      <c r="P350" s="222">
        <v>63</v>
      </c>
      <c r="Q350" s="222">
        <v>64</v>
      </c>
      <c r="R350" s="222">
        <v>65</v>
      </c>
      <c r="S350" s="222">
        <v>67</v>
      </c>
      <c r="T350" s="222">
        <v>68</v>
      </c>
      <c r="U350" s="222">
        <v>69</v>
      </c>
      <c r="V350" s="222">
        <v>70</v>
      </c>
      <c r="W350" s="222">
        <v>71</v>
      </c>
      <c r="X350" s="222">
        <v>72</v>
      </c>
      <c r="Y350" s="222">
        <v>73</v>
      </c>
      <c r="Z350" s="222">
        <v>74</v>
      </c>
      <c r="AA350" s="222">
        <v>75</v>
      </c>
      <c r="AB350" s="222">
        <v>77</v>
      </c>
      <c r="AC350" s="222">
        <v>78</v>
      </c>
      <c r="AD350" s="222">
        <v>80</v>
      </c>
      <c r="AE350" s="222">
        <v>81</v>
      </c>
      <c r="AF350" s="222">
        <v>82</v>
      </c>
      <c r="AG350" s="222">
        <v>84</v>
      </c>
      <c r="AH350" s="222">
        <v>85</v>
      </c>
      <c r="AI350" s="222">
        <v>86</v>
      </c>
      <c r="AJ350" s="222">
        <v>87</v>
      </c>
      <c r="AK350" s="222">
        <v>88</v>
      </c>
      <c r="AL350" s="222">
        <v>90</v>
      </c>
      <c r="AM350" s="222">
        <v>91</v>
      </c>
      <c r="AN350" s="222">
        <v>92</v>
      </c>
      <c r="AO350" s="222">
        <v>93</v>
      </c>
      <c r="AP350" s="222">
        <v>95</v>
      </c>
      <c r="AQ350" s="222">
        <v>96</v>
      </c>
      <c r="AR350" s="222">
        <v>98</v>
      </c>
      <c r="AS350" s="222">
        <v>100</v>
      </c>
      <c r="AT350" s="222">
        <v>101</v>
      </c>
      <c r="AU350" s="222">
        <v>102</v>
      </c>
      <c r="AV350" s="222">
        <v>104</v>
      </c>
      <c r="AW350" s="222">
        <v>105</v>
      </c>
      <c r="AX350" s="222">
        <v>106</v>
      </c>
      <c r="AY350" s="222">
        <v>108</v>
      </c>
      <c r="AZ350" s="222">
        <v>109</v>
      </c>
      <c r="BA350" s="222">
        <v>111</v>
      </c>
      <c r="BB350" s="222">
        <v>112</v>
      </c>
      <c r="BC350" s="222">
        <v>114</v>
      </c>
      <c r="BD350" s="222">
        <v>115</v>
      </c>
      <c r="BE350" s="222">
        <v>117</v>
      </c>
      <c r="BF350" s="222">
        <v>118</v>
      </c>
      <c r="BG350" s="222">
        <v>120</v>
      </c>
      <c r="BH350" s="222">
        <v>121</v>
      </c>
      <c r="BI350" s="222">
        <v>123</v>
      </c>
      <c r="BJ350" s="222">
        <v>124</v>
      </c>
      <c r="BK350" s="222">
        <v>126</v>
      </c>
      <c r="BL350" s="222">
        <v>128</v>
      </c>
      <c r="BM350" s="222">
        <v>129</v>
      </c>
      <c r="BN350" s="222">
        <v>130</v>
      </c>
      <c r="BO350" s="222">
        <v>131</v>
      </c>
      <c r="BP350" s="222">
        <v>132</v>
      </c>
      <c r="BQ350" s="222">
        <v>133</v>
      </c>
      <c r="BR350" s="222">
        <v>135</v>
      </c>
      <c r="BS350" s="222">
        <v>136</v>
      </c>
      <c r="BT350" s="222">
        <v>138</v>
      </c>
      <c r="BU350" s="222">
        <v>139</v>
      </c>
      <c r="BV350" s="222">
        <v>141</v>
      </c>
      <c r="BW350" s="222">
        <v>142</v>
      </c>
      <c r="BX350" s="222">
        <v>143</v>
      </c>
      <c r="BY350" s="222">
        <v>145</v>
      </c>
      <c r="BZ350" s="222">
        <v>146</v>
      </c>
      <c r="CA350" s="222">
        <v>147</v>
      </c>
      <c r="CB350" s="222">
        <v>149</v>
      </c>
      <c r="CC350" s="222">
        <v>150</v>
      </c>
      <c r="CD350" s="222">
        <v>151</v>
      </c>
      <c r="CE350" s="222">
        <v>152</v>
      </c>
      <c r="CF350" s="222">
        <v>154</v>
      </c>
      <c r="CG350" s="222">
        <v>155</v>
      </c>
    </row>
    <row r="351" spans="1:124" s="218" customFormat="1" hidden="1">
      <c r="C351" s="225" t="s">
        <v>3</v>
      </c>
      <c r="D351" s="222">
        <v>1</v>
      </c>
      <c r="E351" s="222">
        <v>1</v>
      </c>
      <c r="F351" s="222">
        <v>1</v>
      </c>
      <c r="G351" s="222">
        <v>1</v>
      </c>
      <c r="H351" s="222">
        <v>1</v>
      </c>
      <c r="I351" s="222">
        <v>1</v>
      </c>
      <c r="J351" s="222">
        <v>1</v>
      </c>
      <c r="K351" s="222">
        <v>1</v>
      </c>
      <c r="L351" s="222">
        <v>1</v>
      </c>
      <c r="M351" s="222">
        <v>1</v>
      </c>
      <c r="N351" s="222">
        <v>1</v>
      </c>
      <c r="O351" s="222">
        <v>1</v>
      </c>
      <c r="P351" s="222">
        <v>1</v>
      </c>
      <c r="Q351" s="222">
        <v>1</v>
      </c>
      <c r="R351" s="222">
        <v>1</v>
      </c>
      <c r="S351" s="222">
        <v>1</v>
      </c>
      <c r="T351" s="222">
        <v>2</v>
      </c>
      <c r="U351" s="222">
        <v>2</v>
      </c>
      <c r="V351" s="222">
        <v>2</v>
      </c>
      <c r="W351" s="222">
        <v>3</v>
      </c>
      <c r="X351" s="222">
        <v>3</v>
      </c>
      <c r="Y351" s="222">
        <v>4</v>
      </c>
      <c r="Z351" s="222">
        <v>5</v>
      </c>
      <c r="AA351" s="222">
        <v>5</v>
      </c>
      <c r="AB351" s="222">
        <v>6</v>
      </c>
      <c r="AC351" s="222">
        <v>7</v>
      </c>
      <c r="AD351" s="222">
        <v>9</v>
      </c>
      <c r="AE351" s="222">
        <v>10</v>
      </c>
      <c r="AF351" s="222">
        <v>12</v>
      </c>
      <c r="AG351" s="222">
        <v>14</v>
      </c>
      <c r="AH351" s="222">
        <v>16</v>
      </c>
      <c r="AI351" s="222">
        <v>18</v>
      </c>
      <c r="AJ351" s="222">
        <v>19</v>
      </c>
      <c r="AK351" s="222">
        <v>21</v>
      </c>
      <c r="AL351" s="222">
        <v>25</v>
      </c>
      <c r="AM351" s="222">
        <v>27</v>
      </c>
      <c r="AN351" s="222">
        <v>30</v>
      </c>
      <c r="AO351" s="222">
        <v>32</v>
      </c>
      <c r="AP351" s="222">
        <v>36</v>
      </c>
      <c r="AQ351" s="222">
        <v>40</v>
      </c>
      <c r="AR351" s="222">
        <v>45</v>
      </c>
      <c r="AS351" s="222">
        <v>50</v>
      </c>
      <c r="AT351" s="222">
        <v>53</v>
      </c>
      <c r="AU351" s="222">
        <v>55</v>
      </c>
      <c r="AV351" s="222">
        <v>61</v>
      </c>
      <c r="AW351" s="222">
        <v>63</v>
      </c>
      <c r="AX351" s="222">
        <v>66</v>
      </c>
      <c r="AY351" s="222">
        <v>70</v>
      </c>
      <c r="AZ351" s="222">
        <v>73</v>
      </c>
      <c r="BA351" s="222">
        <v>77</v>
      </c>
      <c r="BB351" s="222">
        <v>79</v>
      </c>
      <c r="BC351" s="222">
        <v>82</v>
      </c>
      <c r="BD351" s="222">
        <v>84</v>
      </c>
      <c r="BE351" s="222">
        <v>87</v>
      </c>
      <c r="BF351" s="222">
        <v>88</v>
      </c>
      <c r="BG351" s="222">
        <v>91</v>
      </c>
      <c r="BH351" s="222">
        <v>92</v>
      </c>
      <c r="BI351" s="222">
        <v>94</v>
      </c>
      <c r="BJ351" s="222">
        <v>95</v>
      </c>
      <c r="BK351" s="222">
        <v>96</v>
      </c>
      <c r="BL351" s="222">
        <v>97</v>
      </c>
      <c r="BM351" s="222">
        <v>97</v>
      </c>
      <c r="BN351" s="222">
        <v>98</v>
      </c>
      <c r="BO351" s="222">
        <v>98</v>
      </c>
      <c r="BP351" s="222">
        <v>98</v>
      </c>
      <c r="BQ351" s="222">
        <v>99</v>
      </c>
      <c r="BR351" s="222">
        <v>99</v>
      </c>
      <c r="BS351" s="222">
        <v>99</v>
      </c>
      <c r="BT351" s="222">
        <v>99</v>
      </c>
      <c r="BU351" s="222">
        <v>99</v>
      </c>
      <c r="BV351" s="222">
        <v>99</v>
      </c>
      <c r="BW351" s="222">
        <v>99</v>
      </c>
      <c r="BX351" s="222">
        <v>99</v>
      </c>
      <c r="BY351" s="222">
        <v>99</v>
      </c>
      <c r="BZ351" s="222">
        <v>99</v>
      </c>
      <c r="CA351" s="222">
        <v>99</v>
      </c>
      <c r="CB351" s="222">
        <v>99</v>
      </c>
      <c r="CC351" s="222">
        <v>99</v>
      </c>
      <c r="CD351" s="222">
        <v>99</v>
      </c>
      <c r="CE351" s="222">
        <v>99</v>
      </c>
      <c r="CF351" s="222">
        <v>99</v>
      </c>
      <c r="CG351" s="222">
        <v>99</v>
      </c>
    </row>
    <row r="352" spans="1:124" s="218" customFormat="1" hidden="1">
      <c r="C352" s="225" t="s">
        <v>61</v>
      </c>
      <c r="D352" s="222">
        <v>15</v>
      </c>
      <c r="E352" s="222">
        <v>16</v>
      </c>
      <c r="F352" s="222">
        <v>18</v>
      </c>
      <c r="G352" s="222">
        <v>19</v>
      </c>
      <c r="H352" s="222">
        <v>20</v>
      </c>
      <c r="I352" s="222">
        <v>22</v>
      </c>
      <c r="J352" s="222">
        <v>23</v>
      </c>
      <c r="K352" s="222">
        <v>24</v>
      </c>
      <c r="L352" s="222">
        <v>26</v>
      </c>
      <c r="M352" s="222">
        <v>27</v>
      </c>
      <c r="N352" s="222">
        <v>28</v>
      </c>
      <c r="O352" s="222">
        <v>30</v>
      </c>
      <c r="P352" s="222">
        <v>31</v>
      </c>
      <c r="Q352" s="222">
        <v>33</v>
      </c>
      <c r="R352" s="222">
        <v>34</v>
      </c>
      <c r="S352" s="222">
        <v>35</v>
      </c>
      <c r="T352" s="222">
        <v>37</v>
      </c>
      <c r="U352" s="222">
        <v>38</v>
      </c>
      <c r="V352" s="222">
        <v>39</v>
      </c>
      <c r="W352" s="222">
        <v>40</v>
      </c>
      <c r="X352" s="222">
        <v>42</v>
      </c>
      <c r="Y352" s="222">
        <v>43</v>
      </c>
      <c r="Z352" s="222">
        <v>44</v>
      </c>
      <c r="AA352" s="222">
        <v>45</v>
      </c>
      <c r="AB352" s="222">
        <v>46</v>
      </c>
      <c r="AC352" s="222">
        <v>48</v>
      </c>
      <c r="AD352" s="222">
        <v>49</v>
      </c>
      <c r="AE352" s="222">
        <v>50</v>
      </c>
      <c r="AF352" s="222">
        <v>51</v>
      </c>
      <c r="AG352" s="222">
        <v>53</v>
      </c>
      <c r="AH352" s="222">
        <v>55</v>
      </c>
      <c r="AI352" s="222">
        <v>57</v>
      </c>
      <c r="AJ352" s="222">
        <v>59</v>
      </c>
      <c r="AK352" s="222">
        <v>61</v>
      </c>
      <c r="AL352" s="222">
        <v>62</v>
      </c>
      <c r="AM352" s="222">
        <v>64</v>
      </c>
      <c r="AN352" s="222">
        <v>65</v>
      </c>
      <c r="AO352" s="222">
        <v>67</v>
      </c>
      <c r="AP352" s="222">
        <v>68</v>
      </c>
      <c r="AQ352" s="222">
        <v>70</v>
      </c>
      <c r="AR352" s="222">
        <v>71</v>
      </c>
      <c r="AS352" s="222">
        <v>73</v>
      </c>
      <c r="AT352" s="222">
        <v>75</v>
      </c>
      <c r="AU352" s="222">
        <v>76</v>
      </c>
      <c r="AV352" s="222">
        <v>77</v>
      </c>
      <c r="AW352" s="222">
        <v>79</v>
      </c>
      <c r="AX352" s="222">
        <v>81</v>
      </c>
      <c r="AY352" s="222">
        <v>82</v>
      </c>
      <c r="AZ352" s="222">
        <v>84</v>
      </c>
      <c r="BA352" s="222">
        <v>85</v>
      </c>
      <c r="BB352" s="222">
        <v>87</v>
      </c>
      <c r="BC352" s="222">
        <v>88</v>
      </c>
      <c r="BD352" s="222">
        <v>90</v>
      </c>
      <c r="BE352" s="222">
        <v>92</v>
      </c>
      <c r="BF352" s="222">
        <v>93</v>
      </c>
      <c r="BG352" s="222">
        <v>94</v>
      </c>
      <c r="BH352" s="222">
        <v>95</v>
      </c>
      <c r="BI352" s="222">
        <v>97</v>
      </c>
      <c r="BJ352" s="222">
        <v>98</v>
      </c>
      <c r="BK352" s="222">
        <v>99</v>
      </c>
      <c r="BL352" s="222">
        <v>100</v>
      </c>
      <c r="BM352" s="222">
        <v>102</v>
      </c>
      <c r="BN352" s="222">
        <v>104</v>
      </c>
      <c r="BO352" s="222">
        <v>106</v>
      </c>
      <c r="BP352" s="222">
        <v>107</v>
      </c>
      <c r="BQ352" s="222">
        <v>108</v>
      </c>
      <c r="BR352" s="222">
        <v>110</v>
      </c>
      <c r="BS352" s="222">
        <v>111</v>
      </c>
      <c r="BT352" s="222">
        <v>112</v>
      </c>
      <c r="BU352" s="222">
        <v>113</v>
      </c>
      <c r="BV352" s="222">
        <v>115</v>
      </c>
      <c r="BW352" s="222">
        <v>116</v>
      </c>
      <c r="BX352" s="222">
        <v>117</v>
      </c>
      <c r="BY352" s="222">
        <v>119</v>
      </c>
      <c r="BZ352" s="222">
        <v>120</v>
      </c>
      <c r="CA352" s="222">
        <v>121</v>
      </c>
      <c r="CB352" s="222">
        <v>122</v>
      </c>
      <c r="CC352" s="222">
        <v>123</v>
      </c>
      <c r="CD352" s="222">
        <v>124</v>
      </c>
      <c r="CE352" s="222">
        <v>126</v>
      </c>
      <c r="CF352" s="222">
        <v>127</v>
      </c>
      <c r="CG352" s="222">
        <v>128</v>
      </c>
      <c r="CH352" s="222">
        <v>130</v>
      </c>
      <c r="CI352" s="222">
        <v>131</v>
      </c>
      <c r="CJ352" s="222">
        <v>133</v>
      </c>
      <c r="CK352" s="222">
        <v>134</v>
      </c>
      <c r="CL352" s="222">
        <v>135</v>
      </c>
      <c r="CM352" s="222">
        <v>137</v>
      </c>
      <c r="CN352" s="222">
        <v>138</v>
      </c>
      <c r="CO352" s="222">
        <v>140</v>
      </c>
      <c r="CP352" s="222">
        <v>141</v>
      </c>
      <c r="CQ352" s="222">
        <v>142</v>
      </c>
      <c r="CR352" s="222">
        <v>143</v>
      </c>
      <c r="CS352" s="222">
        <v>144</v>
      </c>
      <c r="CT352" s="222">
        <v>146</v>
      </c>
      <c r="CU352" s="222">
        <v>147</v>
      </c>
      <c r="CV352" s="222">
        <v>148</v>
      </c>
      <c r="CW352" s="222">
        <v>149</v>
      </c>
      <c r="CX352" s="222">
        <v>150</v>
      </c>
      <c r="CY352" s="222">
        <v>151</v>
      </c>
      <c r="CZ352" s="222">
        <v>153</v>
      </c>
      <c r="DA352" s="222">
        <v>154</v>
      </c>
      <c r="DB352" s="222">
        <v>156</v>
      </c>
      <c r="DC352" s="222">
        <v>158</v>
      </c>
      <c r="DD352" s="222">
        <v>159</v>
      </c>
      <c r="DE352" s="222">
        <v>161</v>
      </c>
      <c r="DF352" s="222">
        <v>163</v>
      </c>
      <c r="DG352" s="222">
        <v>164</v>
      </c>
      <c r="DH352" s="222">
        <v>166</v>
      </c>
      <c r="DI352" s="222">
        <v>167</v>
      </c>
      <c r="DJ352" s="222">
        <v>168</v>
      </c>
      <c r="DK352" s="222">
        <v>170</v>
      </c>
      <c r="DL352" s="222">
        <v>171</v>
      </c>
      <c r="DM352" s="222">
        <v>173</v>
      </c>
      <c r="DN352" s="222">
        <v>174</v>
      </c>
      <c r="DO352" s="222">
        <v>176</v>
      </c>
      <c r="DP352" s="222">
        <v>177</v>
      </c>
      <c r="DQ352" s="222">
        <v>179</v>
      </c>
      <c r="DR352" s="222">
        <v>181</v>
      </c>
      <c r="DS352" s="222">
        <v>182</v>
      </c>
      <c r="DT352" s="222">
        <v>184</v>
      </c>
    </row>
    <row r="353" spans="3:124" s="218" customFormat="1" hidden="1">
      <c r="C353" s="225" t="s">
        <v>62</v>
      </c>
      <c r="D353" s="222">
        <v>40</v>
      </c>
      <c r="E353" s="222">
        <v>41</v>
      </c>
      <c r="F353" s="222">
        <v>42</v>
      </c>
      <c r="G353" s="222">
        <v>43</v>
      </c>
      <c r="H353" s="222">
        <v>44</v>
      </c>
      <c r="I353" s="222">
        <v>45</v>
      </c>
      <c r="J353" s="222">
        <v>46</v>
      </c>
      <c r="K353" s="222">
        <v>47</v>
      </c>
      <c r="L353" s="222">
        <v>48</v>
      </c>
      <c r="M353" s="222">
        <v>49</v>
      </c>
      <c r="N353" s="222">
        <v>50</v>
      </c>
      <c r="O353" s="222">
        <v>51</v>
      </c>
      <c r="P353" s="222">
        <v>52</v>
      </c>
      <c r="Q353" s="222">
        <v>53</v>
      </c>
      <c r="R353" s="222">
        <v>54</v>
      </c>
      <c r="S353" s="222">
        <v>55</v>
      </c>
      <c r="T353" s="222">
        <v>56</v>
      </c>
      <c r="U353" s="222">
        <v>57</v>
      </c>
      <c r="V353" s="222">
        <v>58</v>
      </c>
      <c r="W353" s="222">
        <v>59</v>
      </c>
      <c r="X353" s="222">
        <v>60</v>
      </c>
      <c r="Y353" s="222">
        <v>61</v>
      </c>
      <c r="Z353" s="222">
        <v>62</v>
      </c>
      <c r="AA353" s="222">
        <v>63</v>
      </c>
      <c r="AB353" s="222">
        <v>64</v>
      </c>
      <c r="AC353" s="222">
        <v>65</v>
      </c>
      <c r="AD353" s="222">
        <v>66</v>
      </c>
      <c r="AE353" s="222">
        <v>67</v>
      </c>
      <c r="AF353" s="222">
        <v>68</v>
      </c>
      <c r="AG353" s="222">
        <v>69</v>
      </c>
      <c r="AH353" s="222">
        <v>70</v>
      </c>
      <c r="AI353" s="222">
        <v>71</v>
      </c>
      <c r="AJ353" s="222">
        <v>72</v>
      </c>
      <c r="AK353" s="222">
        <v>73</v>
      </c>
      <c r="AL353" s="222">
        <v>74</v>
      </c>
      <c r="AM353" s="222">
        <v>75</v>
      </c>
      <c r="AN353" s="222">
        <v>76</v>
      </c>
      <c r="AO353" s="222">
        <v>77</v>
      </c>
      <c r="AP353" s="222">
        <v>78</v>
      </c>
      <c r="AQ353" s="222">
        <v>79</v>
      </c>
      <c r="AR353" s="222">
        <v>80</v>
      </c>
      <c r="AS353" s="222">
        <v>81</v>
      </c>
      <c r="AT353" s="222">
        <v>82</v>
      </c>
      <c r="AU353" s="222">
        <v>83</v>
      </c>
      <c r="AV353" s="222">
        <v>84</v>
      </c>
      <c r="AW353" s="222">
        <v>85</v>
      </c>
      <c r="AX353" s="222">
        <v>86</v>
      </c>
      <c r="AY353" s="222">
        <v>87</v>
      </c>
      <c r="AZ353" s="222">
        <v>88</v>
      </c>
      <c r="BA353" s="222">
        <v>89</v>
      </c>
      <c r="BB353" s="222">
        <v>90</v>
      </c>
      <c r="BC353" s="222">
        <v>91</v>
      </c>
      <c r="BD353" s="222">
        <v>92</v>
      </c>
      <c r="BE353" s="222">
        <v>93</v>
      </c>
      <c r="BF353" s="222">
        <v>94</v>
      </c>
      <c r="BG353" s="222">
        <v>95</v>
      </c>
      <c r="BH353" s="222">
        <v>96</v>
      </c>
      <c r="BI353" s="222">
        <v>97</v>
      </c>
      <c r="BJ353" s="222">
        <v>98</v>
      </c>
      <c r="BK353" s="222">
        <v>99</v>
      </c>
      <c r="BL353" s="222">
        <v>100</v>
      </c>
      <c r="BM353" s="222">
        <v>101</v>
      </c>
      <c r="BN353" s="222">
        <v>102</v>
      </c>
      <c r="BO353" s="222">
        <v>103</v>
      </c>
      <c r="BP353" s="222">
        <v>104</v>
      </c>
      <c r="BQ353" s="222">
        <v>105</v>
      </c>
      <c r="BR353" s="222">
        <v>106</v>
      </c>
      <c r="BS353" s="222">
        <v>107</v>
      </c>
      <c r="BT353" s="222">
        <v>108</v>
      </c>
      <c r="BU353" s="222">
        <v>109</v>
      </c>
      <c r="BV353" s="222">
        <v>110</v>
      </c>
      <c r="BW353" s="222">
        <v>111</v>
      </c>
      <c r="BX353" s="222">
        <v>112</v>
      </c>
      <c r="BY353" s="222">
        <v>113</v>
      </c>
      <c r="BZ353" s="222">
        <v>114</v>
      </c>
      <c r="CA353" s="222">
        <v>115</v>
      </c>
      <c r="CB353" s="222">
        <v>116</v>
      </c>
      <c r="CC353" s="222">
        <v>117</v>
      </c>
      <c r="CD353" s="222">
        <v>118</v>
      </c>
      <c r="CE353" s="222">
        <v>119</v>
      </c>
      <c r="CF353" s="222">
        <v>120</v>
      </c>
      <c r="CG353" s="222">
        <v>121</v>
      </c>
      <c r="CH353" s="222">
        <v>122</v>
      </c>
      <c r="CI353" s="222">
        <v>123</v>
      </c>
      <c r="CJ353" s="222">
        <v>124</v>
      </c>
      <c r="CK353" s="222">
        <v>125</v>
      </c>
      <c r="CL353" s="222">
        <v>126</v>
      </c>
      <c r="CM353" s="222">
        <v>127</v>
      </c>
      <c r="CN353" s="222">
        <v>128</v>
      </c>
      <c r="CO353" s="222">
        <v>129</v>
      </c>
      <c r="CP353" s="222">
        <v>130</v>
      </c>
      <c r="CQ353" s="222">
        <v>131</v>
      </c>
      <c r="CR353" s="222">
        <v>132</v>
      </c>
      <c r="CS353" s="222">
        <v>133</v>
      </c>
      <c r="CT353" s="222">
        <v>134</v>
      </c>
      <c r="CU353" s="222">
        <v>135</v>
      </c>
      <c r="CV353" s="222">
        <v>136</v>
      </c>
      <c r="CW353" s="222">
        <v>137</v>
      </c>
      <c r="CX353" s="222">
        <v>138</v>
      </c>
      <c r="CY353" s="222">
        <v>139</v>
      </c>
      <c r="CZ353" s="222">
        <v>140</v>
      </c>
      <c r="DA353" s="222">
        <v>141</v>
      </c>
      <c r="DB353" s="222">
        <v>142</v>
      </c>
      <c r="DC353" s="222">
        <v>143</v>
      </c>
      <c r="DD353" s="222">
        <v>144</v>
      </c>
      <c r="DE353" s="222">
        <v>145</v>
      </c>
      <c r="DF353" s="222">
        <v>146</v>
      </c>
      <c r="DG353" s="222">
        <v>146</v>
      </c>
      <c r="DH353" s="222">
        <v>147</v>
      </c>
      <c r="DI353" s="222">
        <v>149</v>
      </c>
      <c r="DJ353" s="222">
        <v>150</v>
      </c>
      <c r="DK353" s="222">
        <v>151</v>
      </c>
      <c r="DL353" s="222">
        <v>152</v>
      </c>
      <c r="DM353" s="222">
        <v>153</v>
      </c>
      <c r="DN353" s="222">
        <v>154</v>
      </c>
      <c r="DO353" s="222">
        <v>155</v>
      </c>
      <c r="DP353" s="222">
        <v>156</v>
      </c>
      <c r="DQ353" s="222">
        <v>157</v>
      </c>
      <c r="DR353" s="222">
        <v>158</v>
      </c>
      <c r="DS353" s="222">
        <v>159</v>
      </c>
      <c r="DT353" s="222">
        <v>160</v>
      </c>
    </row>
    <row r="354" spans="3:124" s="218" customFormat="1" hidden="1">
      <c r="C354" s="225" t="s">
        <v>3</v>
      </c>
      <c r="D354" s="222">
        <v>1</v>
      </c>
      <c r="E354" s="222">
        <v>1</v>
      </c>
      <c r="F354" s="222">
        <v>1</v>
      </c>
      <c r="G354" s="222">
        <v>1</v>
      </c>
      <c r="H354" s="222">
        <v>1</v>
      </c>
      <c r="I354" s="222">
        <v>1</v>
      </c>
      <c r="J354" s="222">
        <v>1</v>
      </c>
      <c r="K354" s="222">
        <v>1</v>
      </c>
      <c r="L354" s="222">
        <v>1</v>
      </c>
      <c r="M354" s="222">
        <v>1</v>
      </c>
      <c r="N354" s="222">
        <v>1</v>
      </c>
      <c r="O354" s="222">
        <v>1</v>
      </c>
      <c r="P354" s="222">
        <v>1</v>
      </c>
      <c r="Q354" s="222">
        <v>1</v>
      </c>
      <c r="R354" s="222">
        <v>1</v>
      </c>
      <c r="S354" s="222">
        <v>1</v>
      </c>
      <c r="T354" s="222">
        <v>1</v>
      </c>
      <c r="U354" s="222">
        <v>1</v>
      </c>
      <c r="V354" s="222">
        <v>1</v>
      </c>
      <c r="W354" s="222">
        <v>1</v>
      </c>
      <c r="X354" s="222">
        <v>1</v>
      </c>
      <c r="Y354" s="222">
        <v>1</v>
      </c>
      <c r="Z354" s="222">
        <v>1</v>
      </c>
      <c r="AA354" s="222">
        <v>1</v>
      </c>
      <c r="AB354" s="222">
        <v>1</v>
      </c>
      <c r="AC354" s="222">
        <v>1</v>
      </c>
      <c r="AD354" s="222">
        <v>1</v>
      </c>
      <c r="AE354" s="222">
        <v>1</v>
      </c>
      <c r="AF354" s="222">
        <v>2</v>
      </c>
      <c r="AG354" s="222">
        <v>2</v>
      </c>
      <c r="AH354" s="222">
        <v>2</v>
      </c>
      <c r="AI354" s="222">
        <v>3</v>
      </c>
      <c r="AJ354" s="222">
        <v>3</v>
      </c>
      <c r="AK354" s="222">
        <v>4</v>
      </c>
      <c r="AL354" s="222">
        <v>4</v>
      </c>
      <c r="AM354" s="222">
        <v>5</v>
      </c>
      <c r="AN354" s="222">
        <v>5</v>
      </c>
      <c r="AO354" s="222">
        <v>6</v>
      </c>
      <c r="AP354" s="222">
        <v>7</v>
      </c>
      <c r="AQ354" s="222">
        <v>8</v>
      </c>
      <c r="AR354" s="222">
        <v>9</v>
      </c>
      <c r="AS354" s="222">
        <v>10</v>
      </c>
      <c r="AT354" s="222">
        <v>12</v>
      </c>
      <c r="AU354" s="222">
        <v>13</v>
      </c>
      <c r="AV354" s="222">
        <v>14</v>
      </c>
      <c r="AW354" s="222">
        <v>16</v>
      </c>
      <c r="AX354" s="222">
        <v>18</v>
      </c>
      <c r="AY354" s="222">
        <v>19</v>
      </c>
      <c r="AZ354" s="222">
        <v>21</v>
      </c>
      <c r="BA354" s="222">
        <v>23</v>
      </c>
      <c r="BB354" s="222">
        <v>25</v>
      </c>
      <c r="BC354" s="222">
        <v>27</v>
      </c>
      <c r="BD354" s="222">
        <v>30</v>
      </c>
      <c r="BE354" s="222">
        <v>32</v>
      </c>
      <c r="BF354" s="222">
        <v>34</v>
      </c>
      <c r="BG354" s="222">
        <v>37</v>
      </c>
      <c r="BH354" s="222">
        <v>40</v>
      </c>
      <c r="BI354" s="222">
        <v>42</v>
      </c>
      <c r="BJ354" s="222">
        <v>45</v>
      </c>
      <c r="BK354" s="222">
        <v>47</v>
      </c>
      <c r="BL354" s="222">
        <v>50</v>
      </c>
      <c r="BM354" s="222">
        <v>53</v>
      </c>
      <c r="BN354" s="222">
        <v>55</v>
      </c>
      <c r="BO354" s="222">
        <v>58</v>
      </c>
      <c r="BP354" s="222">
        <v>61</v>
      </c>
      <c r="BQ354" s="222">
        <v>63</v>
      </c>
      <c r="BR354" s="222">
        <v>66</v>
      </c>
      <c r="BS354" s="222">
        <v>68</v>
      </c>
      <c r="BT354" s="222">
        <v>70</v>
      </c>
      <c r="BU354" s="222">
        <v>73</v>
      </c>
      <c r="BV354" s="222">
        <v>75</v>
      </c>
      <c r="BW354" s="222">
        <v>77</v>
      </c>
      <c r="BX354" s="222">
        <v>79</v>
      </c>
      <c r="BY354" s="222">
        <v>81</v>
      </c>
      <c r="BZ354" s="222">
        <v>82</v>
      </c>
      <c r="CA354" s="222">
        <v>84</v>
      </c>
      <c r="CB354" s="222">
        <v>86</v>
      </c>
      <c r="CC354" s="222">
        <v>87</v>
      </c>
      <c r="CD354" s="222">
        <v>88</v>
      </c>
      <c r="CE354" s="222">
        <v>90</v>
      </c>
      <c r="CF354" s="222">
        <v>91</v>
      </c>
      <c r="CG354" s="222">
        <v>92</v>
      </c>
      <c r="CH354" s="222">
        <v>93</v>
      </c>
      <c r="CI354" s="222">
        <v>94</v>
      </c>
      <c r="CJ354" s="222">
        <v>95</v>
      </c>
      <c r="CK354" s="222">
        <v>95</v>
      </c>
      <c r="CL354" s="222">
        <v>96</v>
      </c>
      <c r="CM354" s="222">
        <v>96</v>
      </c>
      <c r="CN354" s="222">
        <v>97</v>
      </c>
      <c r="CO354" s="222">
        <v>97</v>
      </c>
      <c r="CP354" s="222">
        <v>98</v>
      </c>
      <c r="CQ354" s="222">
        <v>98</v>
      </c>
      <c r="CR354" s="222">
        <v>98</v>
      </c>
      <c r="CS354" s="222">
        <v>99</v>
      </c>
      <c r="CT354" s="222">
        <v>99</v>
      </c>
      <c r="CU354" s="222">
        <v>99</v>
      </c>
      <c r="CV354" s="222">
        <v>99</v>
      </c>
      <c r="CW354" s="222">
        <v>99</v>
      </c>
      <c r="CX354" s="222">
        <v>99</v>
      </c>
      <c r="CY354" s="222">
        <v>99</v>
      </c>
      <c r="CZ354" s="222">
        <v>99</v>
      </c>
      <c r="DA354" s="222">
        <v>99</v>
      </c>
      <c r="DB354" s="222">
        <v>99</v>
      </c>
      <c r="DC354" s="222">
        <v>99</v>
      </c>
      <c r="DD354" s="222">
        <v>99</v>
      </c>
      <c r="DE354" s="222">
        <v>99</v>
      </c>
      <c r="DF354" s="222">
        <v>99</v>
      </c>
      <c r="DG354" s="222">
        <v>99</v>
      </c>
      <c r="DH354" s="222">
        <v>99</v>
      </c>
      <c r="DI354" s="222">
        <v>99</v>
      </c>
      <c r="DJ354" s="222">
        <v>99</v>
      </c>
      <c r="DK354" s="222">
        <v>99</v>
      </c>
      <c r="DL354" s="222">
        <v>99</v>
      </c>
      <c r="DM354" s="222">
        <v>99</v>
      </c>
      <c r="DN354" s="222">
        <v>99</v>
      </c>
      <c r="DO354" s="222">
        <v>99</v>
      </c>
      <c r="DP354" s="222">
        <v>99</v>
      </c>
      <c r="DQ354" s="222">
        <v>99</v>
      </c>
      <c r="DR354" s="222">
        <v>99</v>
      </c>
      <c r="DS354" s="222">
        <v>99</v>
      </c>
      <c r="DT354" s="222">
        <v>99</v>
      </c>
    </row>
    <row r="355" spans="3:124" s="218" customFormat="1" hidden="1">
      <c r="D355" s="218">
        <v>0</v>
      </c>
      <c r="E355" s="218">
        <v>70</v>
      </c>
      <c r="F355" s="218">
        <v>80</v>
      </c>
      <c r="G355" s="218">
        <v>90</v>
      </c>
      <c r="H355" s="218">
        <v>111</v>
      </c>
      <c r="I355" s="218">
        <v>120</v>
      </c>
      <c r="J355" s="218">
        <v>130</v>
      </c>
    </row>
    <row r="356" spans="3:124" s="218" customFormat="1" hidden="1">
      <c r="D356" s="218" t="s">
        <v>63</v>
      </c>
      <c r="E356" s="218" t="s">
        <v>64</v>
      </c>
      <c r="F356" s="218" t="s">
        <v>65</v>
      </c>
      <c r="G356" s="218" t="s">
        <v>66</v>
      </c>
      <c r="H356" s="218" t="s">
        <v>67</v>
      </c>
      <c r="I356" s="218" t="s">
        <v>68</v>
      </c>
      <c r="J356" s="218" t="s">
        <v>69</v>
      </c>
    </row>
    <row r="357" spans="3:124" s="218" customFormat="1" hidden="1">
      <c r="C357" s="218" t="s">
        <v>12</v>
      </c>
      <c r="D357" s="218">
        <v>0</v>
      </c>
      <c r="E357" s="218">
        <v>1</v>
      </c>
      <c r="F357" s="218">
        <v>2</v>
      </c>
      <c r="G357" s="218">
        <v>3</v>
      </c>
      <c r="H357" s="218">
        <v>4</v>
      </c>
      <c r="I357" s="218">
        <v>5</v>
      </c>
      <c r="J357" s="218">
        <v>6</v>
      </c>
      <c r="K357" s="218">
        <v>7</v>
      </c>
      <c r="L357" s="218">
        <v>8</v>
      </c>
      <c r="M357" s="218">
        <v>9</v>
      </c>
      <c r="N357" s="218">
        <v>10</v>
      </c>
      <c r="O357" s="218">
        <v>11</v>
      </c>
      <c r="P357" s="218">
        <v>12</v>
      </c>
      <c r="Q357" s="218">
        <v>13</v>
      </c>
      <c r="R357" s="218">
        <v>14</v>
      </c>
      <c r="S357" s="218">
        <v>15</v>
      </c>
      <c r="T357" s="218">
        <v>16</v>
      </c>
      <c r="U357" s="218">
        <v>17</v>
      </c>
      <c r="V357" s="218">
        <v>18</v>
      </c>
      <c r="W357" s="218">
        <v>19</v>
      </c>
      <c r="X357" s="218">
        <v>20</v>
      </c>
      <c r="Y357" s="218">
        <v>21</v>
      </c>
      <c r="Z357" s="218">
        <v>22</v>
      </c>
      <c r="AA357" s="218">
        <v>23</v>
      </c>
      <c r="AB357" s="218">
        <v>24</v>
      </c>
      <c r="AC357" s="218">
        <v>25</v>
      </c>
      <c r="AD357" s="218">
        <v>26</v>
      </c>
      <c r="AE357" s="218">
        <v>27</v>
      </c>
      <c r="AF357" s="218">
        <v>28</v>
      </c>
      <c r="AG357" s="218">
        <v>29</v>
      </c>
      <c r="AH357" s="218">
        <v>30</v>
      </c>
      <c r="AI357" s="218">
        <v>31</v>
      </c>
      <c r="AJ357" s="218">
        <v>32</v>
      </c>
      <c r="AK357" s="218">
        <v>33</v>
      </c>
      <c r="AL357" s="218">
        <v>34</v>
      </c>
      <c r="AM357" s="218">
        <v>35</v>
      </c>
      <c r="AN357" s="218">
        <v>36</v>
      </c>
      <c r="AO357" s="218">
        <v>37</v>
      </c>
      <c r="AP357" s="218">
        <v>38</v>
      </c>
      <c r="AQ357" s="218">
        <v>39</v>
      </c>
      <c r="AR357" s="218">
        <v>40</v>
      </c>
    </row>
    <row r="358" spans="3:124" s="218" customFormat="1" hidden="1">
      <c r="C358" s="218" t="s">
        <v>70</v>
      </c>
      <c r="D358" s="218">
        <v>100</v>
      </c>
      <c r="E358" s="218">
        <v>100</v>
      </c>
      <c r="F358" s="218">
        <v>98.4</v>
      </c>
      <c r="G358" s="218">
        <v>90.3</v>
      </c>
      <c r="H358" s="218">
        <v>72.8</v>
      </c>
      <c r="I358" s="218">
        <v>50.4</v>
      </c>
      <c r="J358" s="218">
        <v>31.3</v>
      </c>
      <c r="K358" s="218">
        <v>17.2</v>
      </c>
      <c r="L358" s="218">
        <v>7.9</v>
      </c>
      <c r="M358" s="218">
        <v>3.7</v>
      </c>
      <c r="N358" s="218">
        <v>1.8</v>
      </c>
      <c r="O358" s="218">
        <v>0.6</v>
      </c>
      <c r="P358" s="218">
        <v>0.2</v>
      </c>
      <c r="Q358" s="218">
        <v>0</v>
      </c>
      <c r="R358" s="218">
        <v>0</v>
      </c>
      <c r="S358" s="218">
        <v>0</v>
      </c>
      <c r="T358" s="218">
        <v>0</v>
      </c>
      <c r="U358" s="218">
        <v>0</v>
      </c>
      <c r="V358" s="218">
        <v>0</v>
      </c>
    </row>
    <row r="359" spans="3:124" s="218" customFormat="1" hidden="1">
      <c r="C359" s="218" t="s">
        <v>71</v>
      </c>
      <c r="D359" s="218">
        <v>100</v>
      </c>
      <c r="E359" s="218">
        <v>100</v>
      </c>
      <c r="F359" s="218">
        <v>99.3</v>
      </c>
      <c r="G359" s="218">
        <v>95</v>
      </c>
      <c r="H359" s="218">
        <v>82.4</v>
      </c>
      <c r="I359" s="218">
        <v>61.7</v>
      </c>
      <c r="J359" s="218">
        <v>41.4</v>
      </c>
      <c r="K359" s="218">
        <v>24.4</v>
      </c>
      <c r="L359" s="218">
        <v>11.5</v>
      </c>
      <c r="M359" s="218">
        <v>5.0999999999999996</v>
      </c>
      <c r="N359" s="218">
        <v>1.8</v>
      </c>
      <c r="O359" s="218">
        <v>0.9</v>
      </c>
      <c r="P359" s="218">
        <v>0.3</v>
      </c>
      <c r="Q359" s="218">
        <v>0.2</v>
      </c>
      <c r="R359" s="218">
        <v>0.2</v>
      </c>
      <c r="S359" s="218">
        <v>0</v>
      </c>
      <c r="T359" s="218">
        <v>0</v>
      </c>
      <c r="U359" s="218">
        <v>0</v>
      </c>
      <c r="V359" s="218">
        <v>0</v>
      </c>
    </row>
    <row r="360" spans="3:124" s="218" customFormat="1" hidden="1">
      <c r="C360" s="218" t="s">
        <v>72</v>
      </c>
      <c r="D360" s="218">
        <v>100</v>
      </c>
      <c r="E360" s="218">
        <v>99.9</v>
      </c>
      <c r="F360" s="218">
        <v>98.4</v>
      </c>
      <c r="G360" s="218">
        <v>90</v>
      </c>
      <c r="H360" s="218">
        <v>74.900000000000006</v>
      </c>
      <c r="I360" s="218">
        <v>56.5</v>
      </c>
      <c r="J360" s="218">
        <v>37.5</v>
      </c>
      <c r="K360" s="218">
        <v>23</v>
      </c>
      <c r="L360" s="218">
        <v>12.3</v>
      </c>
      <c r="M360" s="218">
        <v>5.4</v>
      </c>
      <c r="N360" s="218">
        <v>2.2999999999999998</v>
      </c>
      <c r="O360" s="218">
        <v>1.1000000000000001</v>
      </c>
      <c r="P360" s="218">
        <v>0.4</v>
      </c>
      <c r="Q360" s="218">
        <v>6</v>
      </c>
      <c r="R360" s="218">
        <v>5</v>
      </c>
      <c r="S360" s="218">
        <v>3.6</v>
      </c>
      <c r="T360" s="218">
        <v>2.6</v>
      </c>
      <c r="U360" s="218">
        <v>1.3</v>
      </c>
      <c r="V360" s="218">
        <v>0.7</v>
      </c>
    </row>
    <row r="361" spans="3:124" s="218" customFormat="1" hidden="1">
      <c r="C361" s="218" t="s">
        <v>73</v>
      </c>
      <c r="D361" s="218">
        <v>100</v>
      </c>
      <c r="E361" s="218">
        <v>100</v>
      </c>
      <c r="F361" s="218">
        <v>99.7</v>
      </c>
      <c r="G361" s="218">
        <v>96.8</v>
      </c>
      <c r="H361" s="218">
        <v>87.3</v>
      </c>
      <c r="I361" s="218">
        <v>70.099999999999994</v>
      </c>
      <c r="J361" s="218">
        <v>50.7</v>
      </c>
      <c r="K361" s="218">
        <v>32.4</v>
      </c>
      <c r="L361" s="218">
        <v>18.2</v>
      </c>
      <c r="M361" s="218">
        <v>8.9</v>
      </c>
      <c r="N361" s="218">
        <v>4.2</v>
      </c>
      <c r="O361" s="218">
        <v>1.9</v>
      </c>
      <c r="P361" s="218">
        <v>0.8</v>
      </c>
      <c r="Q361" s="218">
        <v>0.3</v>
      </c>
      <c r="R361" s="218">
        <v>0.2</v>
      </c>
      <c r="S361" s="218">
        <v>0.2</v>
      </c>
      <c r="T361" s="218">
        <v>0</v>
      </c>
      <c r="U361" s="218">
        <v>0</v>
      </c>
      <c r="V361" s="218">
        <v>0</v>
      </c>
    </row>
    <row r="362" spans="3:124" s="218" customFormat="1" hidden="1">
      <c r="C362" s="218" t="s">
        <v>74</v>
      </c>
      <c r="D362" s="218">
        <v>100</v>
      </c>
      <c r="E362" s="218">
        <v>100</v>
      </c>
      <c r="F362" s="218">
        <v>99.9</v>
      </c>
      <c r="G362" s="218">
        <v>99.6</v>
      </c>
      <c r="H362" s="218">
        <v>96.7</v>
      </c>
      <c r="I362" s="218">
        <v>87.2</v>
      </c>
      <c r="J362" s="218">
        <v>71.2</v>
      </c>
      <c r="K362" s="218">
        <v>50.9</v>
      </c>
      <c r="L362" s="218">
        <v>32.200000000000003</v>
      </c>
      <c r="M362" s="218">
        <v>17.399999999999999</v>
      </c>
      <c r="N362" s="218">
        <v>8.1</v>
      </c>
      <c r="O362" s="218">
        <v>3.1</v>
      </c>
      <c r="P362" s="218">
        <v>1.2</v>
      </c>
      <c r="Q362" s="218">
        <v>0.3</v>
      </c>
      <c r="R362" s="218">
        <v>0.1</v>
      </c>
      <c r="S362" s="218">
        <v>0</v>
      </c>
      <c r="T362" s="218">
        <v>0</v>
      </c>
      <c r="U362" s="218">
        <v>0</v>
      </c>
      <c r="V362" s="218">
        <v>0</v>
      </c>
      <c r="W362" s="218">
        <v>0</v>
      </c>
    </row>
    <row r="363" spans="3:124" s="218" customFormat="1" hidden="1">
      <c r="C363" s="218" t="s">
        <v>75</v>
      </c>
      <c r="D363" s="218">
        <v>100</v>
      </c>
      <c r="E363" s="218">
        <v>100</v>
      </c>
      <c r="F363" s="218">
        <v>100</v>
      </c>
      <c r="G363" s="218">
        <v>99.8</v>
      </c>
      <c r="H363" s="218">
        <v>98.5</v>
      </c>
      <c r="I363" s="218">
        <v>92.3</v>
      </c>
      <c r="J363" s="218">
        <v>79</v>
      </c>
      <c r="K363" s="218">
        <v>58</v>
      </c>
      <c r="L363" s="218">
        <v>37.700000000000003</v>
      </c>
      <c r="M363" s="218">
        <v>21.5</v>
      </c>
      <c r="N363" s="218">
        <v>10.199999999999999</v>
      </c>
      <c r="O363" s="218">
        <v>4.2</v>
      </c>
      <c r="P363" s="218">
        <v>1.9</v>
      </c>
      <c r="Q363" s="218">
        <v>0.8</v>
      </c>
      <c r="R363" s="218">
        <v>0.4</v>
      </c>
      <c r="S363" s="218">
        <v>0.3</v>
      </c>
      <c r="T363" s="218">
        <v>0.2</v>
      </c>
      <c r="U363" s="218">
        <v>0.1</v>
      </c>
      <c r="V363" s="218">
        <v>0</v>
      </c>
      <c r="W363" s="218">
        <v>0</v>
      </c>
    </row>
    <row r="364" spans="3:124" s="218" customFormat="1" hidden="1">
      <c r="C364" s="218" t="s">
        <v>76</v>
      </c>
      <c r="D364" s="218">
        <v>100</v>
      </c>
      <c r="E364" s="218">
        <v>100</v>
      </c>
      <c r="F364" s="218">
        <v>100</v>
      </c>
      <c r="G364" s="218">
        <v>100</v>
      </c>
      <c r="H364" s="218">
        <v>99</v>
      </c>
      <c r="I364" s="218">
        <v>94.6</v>
      </c>
      <c r="J364" s="218">
        <v>82.2</v>
      </c>
      <c r="K364" s="218">
        <v>63.8</v>
      </c>
      <c r="L364" s="218">
        <v>42.5</v>
      </c>
      <c r="M364" s="218">
        <v>23.9</v>
      </c>
      <c r="N364" s="218">
        <v>11.5</v>
      </c>
      <c r="O364" s="218">
        <v>5</v>
      </c>
      <c r="P364" s="218">
        <v>2.4</v>
      </c>
      <c r="Q364" s="218">
        <v>0.8</v>
      </c>
      <c r="R364" s="218">
        <v>0.4</v>
      </c>
      <c r="S364" s="218">
        <v>0.3</v>
      </c>
      <c r="T364" s="218">
        <v>0.2</v>
      </c>
      <c r="U364" s="218">
        <v>0.1</v>
      </c>
      <c r="V364" s="218">
        <v>0.1</v>
      </c>
      <c r="W364" s="218">
        <v>0</v>
      </c>
    </row>
    <row r="365" spans="3:124" s="218" customFormat="1" hidden="1"/>
    <row r="366" spans="3:124" s="218" customFormat="1" hidden="1">
      <c r="C366" s="218" t="s">
        <v>37</v>
      </c>
      <c r="D366" s="218">
        <v>100</v>
      </c>
      <c r="E366" s="218">
        <v>97</v>
      </c>
      <c r="F366" s="218">
        <v>88</v>
      </c>
      <c r="G366" s="218">
        <v>81</v>
      </c>
      <c r="H366" s="218">
        <v>73</v>
      </c>
      <c r="I366" s="218">
        <v>66</v>
      </c>
      <c r="J366" s="218">
        <v>60</v>
      </c>
      <c r="K366" s="218">
        <v>54</v>
      </c>
      <c r="L366" s="218">
        <v>48</v>
      </c>
      <c r="M366" s="218">
        <v>43</v>
      </c>
      <c r="N366" s="218">
        <v>37</v>
      </c>
      <c r="O366" s="218">
        <v>32</v>
      </c>
      <c r="P366" s="218">
        <v>28</v>
      </c>
      <c r="Q366" s="218">
        <v>24</v>
      </c>
      <c r="R366" s="218">
        <v>20</v>
      </c>
      <c r="S366" s="218">
        <v>19</v>
      </c>
      <c r="T366" s="218">
        <v>16</v>
      </c>
      <c r="U366" s="218">
        <v>13</v>
      </c>
      <c r="V366" s="218">
        <v>11</v>
      </c>
      <c r="W366" s="218">
        <v>9</v>
      </c>
      <c r="X366" s="218">
        <v>7</v>
      </c>
      <c r="Y366" s="218">
        <v>6</v>
      </c>
      <c r="Z366" s="218">
        <v>5</v>
      </c>
      <c r="AA366" s="218">
        <v>4</v>
      </c>
      <c r="AB366" s="218">
        <v>3</v>
      </c>
      <c r="AC366" s="218">
        <v>3</v>
      </c>
      <c r="AD366" s="218">
        <v>2</v>
      </c>
      <c r="AE366" s="218">
        <v>2</v>
      </c>
      <c r="AF366" s="218">
        <v>1</v>
      </c>
      <c r="AG366" s="218">
        <v>1</v>
      </c>
      <c r="AH366" s="218">
        <v>1</v>
      </c>
      <c r="AI366" s="218">
        <v>1</v>
      </c>
      <c r="AJ366" s="218">
        <v>1</v>
      </c>
      <c r="AK366" s="218">
        <v>1</v>
      </c>
      <c r="AL366" s="218">
        <v>0.4</v>
      </c>
      <c r="AM366" s="218">
        <v>0.3</v>
      </c>
      <c r="AN366" s="218">
        <v>0.3</v>
      </c>
      <c r="AO366" s="218">
        <v>0.3</v>
      </c>
      <c r="AP366" s="218">
        <v>0.2</v>
      </c>
      <c r="AQ366" s="218">
        <v>0.2</v>
      </c>
      <c r="AR366" s="218">
        <v>0.1</v>
      </c>
    </row>
    <row r="367" spans="3:124" s="218" customFormat="1" hidden="1">
      <c r="C367" s="218" t="s">
        <v>73</v>
      </c>
      <c r="D367" s="218">
        <v>100</v>
      </c>
      <c r="E367" s="218">
        <v>100</v>
      </c>
      <c r="F367" s="218">
        <v>99.7</v>
      </c>
      <c r="G367" s="218">
        <v>96.8</v>
      </c>
      <c r="H367" s="218">
        <v>87.3</v>
      </c>
      <c r="I367" s="218">
        <v>70.099999999999994</v>
      </c>
      <c r="J367" s="218">
        <v>50.7</v>
      </c>
      <c r="K367" s="218">
        <v>32.4</v>
      </c>
      <c r="L367" s="218">
        <v>18.2</v>
      </c>
      <c r="M367" s="218">
        <v>8.9</v>
      </c>
      <c r="N367" s="218">
        <v>4.2</v>
      </c>
      <c r="O367" s="218">
        <v>1.9</v>
      </c>
      <c r="P367" s="218">
        <v>0.8</v>
      </c>
      <c r="Q367" s="218">
        <v>0.3</v>
      </c>
      <c r="R367" s="218">
        <v>0.2</v>
      </c>
      <c r="S367" s="218">
        <v>0.2</v>
      </c>
      <c r="T367" s="218">
        <v>0</v>
      </c>
      <c r="U367" s="218">
        <v>0</v>
      </c>
      <c r="V367" s="218">
        <v>0</v>
      </c>
    </row>
    <row r="368" spans="3:124" s="218" customFormat="1" hidden="1">
      <c r="C368" s="218" t="s">
        <v>73</v>
      </c>
      <c r="D368" s="218">
        <v>100</v>
      </c>
      <c r="E368" s="218">
        <v>100</v>
      </c>
      <c r="F368" s="218">
        <v>99.7</v>
      </c>
      <c r="G368" s="218">
        <v>96.8</v>
      </c>
      <c r="H368" s="218">
        <v>87.3</v>
      </c>
      <c r="I368" s="218">
        <v>70.099999999999994</v>
      </c>
      <c r="J368" s="218">
        <v>50.7</v>
      </c>
      <c r="K368" s="218">
        <v>32.4</v>
      </c>
      <c r="L368" s="218">
        <v>18.2</v>
      </c>
      <c r="M368" s="218">
        <v>8.9</v>
      </c>
      <c r="N368" s="218">
        <v>4.2</v>
      </c>
      <c r="O368" s="218">
        <v>1.9</v>
      </c>
      <c r="P368" s="218">
        <v>0.8</v>
      </c>
      <c r="Q368" s="218">
        <v>0.3</v>
      </c>
      <c r="R368" s="218">
        <v>0.2</v>
      </c>
      <c r="S368" s="218">
        <v>0.2</v>
      </c>
      <c r="T368" s="218">
        <v>0</v>
      </c>
      <c r="U368" s="218">
        <v>0</v>
      </c>
      <c r="V368" s="218">
        <v>0</v>
      </c>
    </row>
    <row r="369" spans="2:34" s="218" customFormat="1" hidden="1"/>
    <row r="370" spans="2:34" s="218" customFormat="1" hidden="1">
      <c r="B370" s="226"/>
      <c r="C370" s="226" t="s">
        <v>77</v>
      </c>
      <c r="D370" s="226">
        <v>1</v>
      </c>
      <c r="E370" s="226">
        <v>2</v>
      </c>
      <c r="F370" s="226">
        <v>5</v>
      </c>
      <c r="G370" s="226">
        <v>10</v>
      </c>
      <c r="H370" s="226">
        <v>25</v>
      </c>
      <c r="I370" s="226">
        <v>50</v>
      </c>
      <c r="J370" s="226"/>
      <c r="K370" s="226"/>
      <c r="L370" s="226"/>
      <c r="M370" s="226"/>
      <c r="N370" s="226" t="s">
        <v>78</v>
      </c>
      <c r="O370" s="226">
        <v>1</v>
      </c>
      <c r="P370" s="226">
        <v>2</v>
      </c>
      <c r="Q370" s="226">
        <v>5</v>
      </c>
      <c r="R370" s="226">
        <v>10</v>
      </c>
      <c r="S370" s="226">
        <v>25</v>
      </c>
      <c r="T370" s="226">
        <v>50</v>
      </c>
      <c r="U370" s="226"/>
      <c r="V370" s="226"/>
      <c r="W370" s="226"/>
      <c r="Y370" s="218" t="s">
        <v>79</v>
      </c>
      <c r="Z370" s="218">
        <v>1</v>
      </c>
      <c r="AA370" s="218">
        <v>2</v>
      </c>
      <c r="AB370" s="218">
        <v>5</v>
      </c>
      <c r="AC370" s="218">
        <v>10</v>
      </c>
      <c r="AD370" s="218">
        <v>25</v>
      </c>
      <c r="AE370" s="218">
        <v>50</v>
      </c>
    </row>
    <row r="371" spans="2:34" s="218" customFormat="1" hidden="1">
      <c r="B371" s="226"/>
      <c r="C371" s="226">
        <v>16</v>
      </c>
      <c r="D371" s="226">
        <v>0</v>
      </c>
      <c r="E371" s="226">
        <v>4</v>
      </c>
      <c r="F371" s="226">
        <v>7</v>
      </c>
      <c r="G371" s="226">
        <v>9</v>
      </c>
      <c r="H371" s="226">
        <v>13</v>
      </c>
      <c r="I371" s="226">
        <v>15</v>
      </c>
      <c r="J371" s="226"/>
      <c r="K371" s="282" t="str">
        <f t="shared" ref="K371:K383" si="14">IF($O$12="","",LOOKUP($O$12,D371:I371,$D$370:$I$370))</f>
        <v/>
      </c>
      <c r="L371" s="226" t="e">
        <f>LOOKUP(N6,C371:C383,K371:K383)</f>
        <v>#N/A</v>
      </c>
      <c r="M371" s="226"/>
      <c r="N371" s="226">
        <v>16</v>
      </c>
      <c r="O371" s="226">
        <v>0</v>
      </c>
      <c r="P371" s="226">
        <v>5</v>
      </c>
      <c r="Q371" s="226">
        <v>6</v>
      </c>
      <c r="R371" s="226">
        <v>6</v>
      </c>
      <c r="S371" s="226">
        <v>7</v>
      </c>
      <c r="T371" s="226">
        <v>8</v>
      </c>
      <c r="U371" s="226"/>
      <c r="V371" s="282" t="str">
        <f t="shared" ref="V371:V383" si="15">IF($O$13="","",LOOKUP($O$13,O371:T371,$D$370:$I$370))</f>
        <v/>
      </c>
      <c r="W371" s="226" t="e">
        <f>LOOKUP(N6,N371:N383,V371:V383)</f>
        <v>#N/A</v>
      </c>
      <c r="Y371" s="218">
        <v>16</v>
      </c>
      <c r="Z371" s="218">
        <v>0</v>
      </c>
      <c r="AA371" s="218">
        <v>63</v>
      </c>
      <c r="AB371" s="218">
        <v>81</v>
      </c>
      <c r="AC371" s="218">
        <v>92</v>
      </c>
      <c r="AD371" s="218">
        <v>109</v>
      </c>
      <c r="AE371" s="218">
        <v>124</v>
      </c>
      <c r="AG371" s="283" t="str">
        <f t="shared" ref="AG371:AG383" si="16">IF($O$14="","",LOOKUP($O$14,Z371:AE371,$D$370:$I$370))</f>
        <v/>
      </c>
      <c r="AH371" s="218" t="e">
        <f>LOOKUP(N6,Y371:Y383,AG371:AG383)</f>
        <v>#N/A</v>
      </c>
    </row>
    <row r="372" spans="2:34" s="218" customFormat="1" hidden="1">
      <c r="B372" s="226"/>
      <c r="C372" s="226">
        <v>18</v>
      </c>
      <c r="D372" s="226">
        <v>0</v>
      </c>
      <c r="E372" s="226">
        <v>4</v>
      </c>
      <c r="F372" s="226">
        <v>6</v>
      </c>
      <c r="G372" s="226">
        <v>9</v>
      </c>
      <c r="H372" s="226">
        <v>12</v>
      </c>
      <c r="I372" s="226">
        <v>15</v>
      </c>
      <c r="J372" s="226"/>
      <c r="K372" s="282" t="str">
        <f t="shared" si="14"/>
        <v/>
      </c>
      <c r="L372" s="226"/>
      <c r="M372" s="226"/>
      <c r="N372" s="226">
        <v>18</v>
      </c>
      <c r="O372" s="226">
        <v>0</v>
      </c>
      <c r="P372" s="226">
        <v>4</v>
      </c>
      <c r="Q372" s="226">
        <v>5</v>
      </c>
      <c r="R372" s="226">
        <v>6</v>
      </c>
      <c r="S372" s="226">
        <v>7</v>
      </c>
      <c r="T372" s="226">
        <v>8</v>
      </c>
      <c r="U372" s="226"/>
      <c r="V372" s="282" t="str">
        <f t="shared" si="15"/>
        <v/>
      </c>
      <c r="W372" s="226"/>
      <c r="Y372" s="218">
        <v>18</v>
      </c>
      <c r="Z372" s="218">
        <v>0</v>
      </c>
      <c r="AA372" s="218">
        <v>49</v>
      </c>
      <c r="AB372" s="218">
        <v>77</v>
      </c>
      <c r="AC372" s="218">
        <v>102</v>
      </c>
      <c r="AD372" s="218">
        <v>116</v>
      </c>
      <c r="AE372" s="218">
        <v>131</v>
      </c>
      <c r="AG372" s="283" t="str">
        <f t="shared" si="16"/>
        <v/>
      </c>
    </row>
    <row r="373" spans="2:34" s="218" customFormat="1" hidden="1">
      <c r="B373" s="226"/>
      <c r="C373" s="226">
        <v>20</v>
      </c>
      <c r="D373" s="226">
        <v>0</v>
      </c>
      <c r="E373" s="226">
        <v>2</v>
      </c>
      <c r="F373" s="226">
        <v>5</v>
      </c>
      <c r="G373" s="226">
        <v>7</v>
      </c>
      <c r="H373" s="226">
        <v>11</v>
      </c>
      <c r="I373" s="226">
        <v>14</v>
      </c>
      <c r="J373" s="226"/>
      <c r="K373" s="282" t="str">
        <f t="shared" si="14"/>
        <v/>
      </c>
      <c r="L373" s="226"/>
      <c r="M373" s="226"/>
      <c r="N373" s="226">
        <v>20</v>
      </c>
      <c r="O373" s="226">
        <v>0</v>
      </c>
      <c r="P373" s="226">
        <v>4</v>
      </c>
      <c r="Q373" s="226">
        <v>5</v>
      </c>
      <c r="R373" s="226">
        <v>6</v>
      </c>
      <c r="S373" s="226">
        <v>7</v>
      </c>
      <c r="T373" s="226">
        <v>8</v>
      </c>
      <c r="U373" s="226"/>
      <c r="V373" s="282" t="str">
        <f t="shared" si="15"/>
        <v/>
      </c>
      <c r="W373" s="226"/>
      <c r="Y373" s="218">
        <v>20</v>
      </c>
      <c r="Z373" s="218">
        <v>0</v>
      </c>
      <c r="AA373" s="218">
        <v>60</v>
      </c>
      <c r="AB373" s="218">
        <v>82</v>
      </c>
      <c r="AC373" s="218">
        <v>93</v>
      </c>
      <c r="AD373" s="218">
        <v>110</v>
      </c>
      <c r="AE373" s="218">
        <v>130</v>
      </c>
      <c r="AG373" s="283" t="str">
        <f t="shared" si="16"/>
        <v/>
      </c>
    </row>
    <row r="374" spans="2:34" s="218" customFormat="1" hidden="1">
      <c r="B374" s="226"/>
      <c r="C374" s="226">
        <v>25</v>
      </c>
      <c r="D374" s="226">
        <v>0</v>
      </c>
      <c r="E374" s="226">
        <v>5</v>
      </c>
      <c r="F374" s="226">
        <v>6</v>
      </c>
      <c r="G374" s="226">
        <v>9</v>
      </c>
      <c r="H374" s="226">
        <v>11</v>
      </c>
      <c r="I374" s="226">
        <v>14</v>
      </c>
      <c r="J374" s="226"/>
      <c r="K374" s="282" t="str">
        <f t="shared" si="14"/>
        <v/>
      </c>
      <c r="L374" s="226"/>
      <c r="M374" s="226"/>
      <c r="N374" s="226">
        <v>25</v>
      </c>
      <c r="O374" s="226">
        <v>0</v>
      </c>
      <c r="P374" s="226">
        <v>5</v>
      </c>
      <c r="Q374" s="226">
        <v>5</v>
      </c>
      <c r="R374" s="226">
        <v>6</v>
      </c>
      <c r="S374" s="226">
        <v>7</v>
      </c>
      <c r="T374" s="226">
        <v>8</v>
      </c>
      <c r="U374" s="226"/>
      <c r="V374" s="282" t="str">
        <f t="shared" si="15"/>
        <v/>
      </c>
      <c r="W374" s="226"/>
      <c r="Y374" s="218">
        <v>25</v>
      </c>
      <c r="Z374" s="218">
        <v>0</v>
      </c>
      <c r="AA374" s="218">
        <v>77</v>
      </c>
      <c r="AB374" s="218">
        <v>84</v>
      </c>
      <c r="AC374" s="218">
        <v>92</v>
      </c>
      <c r="AD374" s="218">
        <v>111</v>
      </c>
      <c r="AE374" s="218">
        <v>129</v>
      </c>
      <c r="AG374" s="283" t="str">
        <f t="shared" si="16"/>
        <v/>
      </c>
    </row>
    <row r="375" spans="2:34" s="218" customFormat="1" hidden="1">
      <c r="B375" s="226"/>
      <c r="C375" s="226">
        <v>30</v>
      </c>
      <c r="D375" s="226">
        <v>0</v>
      </c>
      <c r="E375" s="226">
        <v>4</v>
      </c>
      <c r="F375" s="226">
        <v>7</v>
      </c>
      <c r="G375" s="226">
        <v>8</v>
      </c>
      <c r="H375" s="226">
        <v>10</v>
      </c>
      <c r="I375" s="226">
        <v>14</v>
      </c>
      <c r="J375" s="226"/>
      <c r="K375" s="282" t="str">
        <f t="shared" si="14"/>
        <v/>
      </c>
      <c r="L375" s="226"/>
      <c r="M375" s="226"/>
      <c r="N375" s="226">
        <v>30</v>
      </c>
      <c r="O375" s="226">
        <v>0</v>
      </c>
      <c r="P375" s="226">
        <v>5</v>
      </c>
      <c r="Q375" s="226">
        <v>5</v>
      </c>
      <c r="R375" s="226">
        <v>6</v>
      </c>
      <c r="S375" s="226">
        <v>7</v>
      </c>
      <c r="T375" s="226">
        <v>8</v>
      </c>
      <c r="U375" s="226"/>
      <c r="V375" s="282" t="str">
        <f t="shared" si="15"/>
        <v/>
      </c>
      <c r="W375" s="226"/>
      <c r="Y375" s="218">
        <v>30</v>
      </c>
      <c r="Z375" s="218">
        <v>0</v>
      </c>
      <c r="AA375" s="218">
        <v>66</v>
      </c>
      <c r="AB375" s="218">
        <v>82</v>
      </c>
      <c r="AC375" s="218">
        <v>93</v>
      </c>
      <c r="AD375" s="218">
        <v>108</v>
      </c>
      <c r="AE375" s="218">
        <v>123</v>
      </c>
      <c r="AG375" s="283" t="str">
        <f t="shared" si="16"/>
        <v/>
      </c>
    </row>
    <row r="376" spans="2:34" s="218" customFormat="1" hidden="1">
      <c r="B376" s="226"/>
      <c r="C376" s="226">
        <v>35</v>
      </c>
      <c r="D376" s="226">
        <v>0</v>
      </c>
      <c r="E376" s="226">
        <v>4</v>
      </c>
      <c r="F376" s="226">
        <v>5</v>
      </c>
      <c r="G376" s="226">
        <v>6</v>
      </c>
      <c r="H376" s="226">
        <v>10</v>
      </c>
      <c r="I376" s="226">
        <v>13</v>
      </c>
      <c r="J376" s="226"/>
      <c r="K376" s="282" t="str">
        <f t="shared" si="14"/>
        <v/>
      </c>
      <c r="L376" s="226"/>
      <c r="M376" s="226"/>
      <c r="N376" s="226">
        <v>35</v>
      </c>
      <c r="O376" s="226">
        <v>0</v>
      </c>
      <c r="P376" s="226">
        <v>5</v>
      </c>
      <c r="Q376" s="226">
        <v>5</v>
      </c>
      <c r="R376" s="226">
        <v>6</v>
      </c>
      <c r="S376" s="226">
        <v>6</v>
      </c>
      <c r="T376" s="226">
        <v>7</v>
      </c>
      <c r="U376" s="226"/>
      <c r="V376" s="282" t="str">
        <f t="shared" si="15"/>
        <v/>
      </c>
      <c r="W376" s="226"/>
      <c r="Y376" s="218">
        <v>35</v>
      </c>
      <c r="Z376" s="218">
        <v>0</v>
      </c>
      <c r="AA376" s="218">
        <v>53</v>
      </c>
      <c r="AB376" s="218">
        <v>75</v>
      </c>
      <c r="AC376" s="218">
        <v>90</v>
      </c>
      <c r="AD376" s="218">
        <v>106</v>
      </c>
      <c r="AE376" s="218">
        <v>124</v>
      </c>
      <c r="AG376" s="283" t="str">
        <f t="shared" si="16"/>
        <v/>
      </c>
    </row>
    <row r="377" spans="2:34" s="218" customFormat="1" hidden="1">
      <c r="B377" s="226"/>
      <c r="C377" s="226">
        <v>45</v>
      </c>
      <c r="D377" s="226">
        <v>0</v>
      </c>
      <c r="E377" s="226">
        <v>2</v>
      </c>
      <c r="F377" s="226">
        <v>4</v>
      </c>
      <c r="G377" s="226">
        <v>6</v>
      </c>
      <c r="H377" s="226">
        <v>9</v>
      </c>
      <c r="I377" s="226">
        <v>12</v>
      </c>
      <c r="J377" s="226"/>
      <c r="K377" s="282" t="str">
        <f t="shared" si="14"/>
        <v/>
      </c>
      <c r="L377" s="226"/>
      <c r="M377" s="226"/>
      <c r="N377" s="226">
        <v>45</v>
      </c>
      <c r="O377" s="226">
        <v>0</v>
      </c>
      <c r="P377" s="226">
        <v>4</v>
      </c>
      <c r="Q377" s="226">
        <v>5</v>
      </c>
      <c r="R377" s="226">
        <v>5</v>
      </c>
      <c r="S377" s="226">
        <v>6</v>
      </c>
      <c r="T377" s="226">
        <v>7</v>
      </c>
      <c r="U377" s="226"/>
      <c r="V377" s="282" t="str">
        <f t="shared" si="15"/>
        <v/>
      </c>
      <c r="W377" s="226"/>
      <c r="Y377" s="218">
        <v>45</v>
      </c>
      <c r="Z377" s="218">
        <v>0</v>
      </c>
      <c r="AA377" s="218">
        <v>43</v>
      </c>
      <c r="AB377" s="218">
        <v>73</v>
      </c>
      <c r="AC377" s="218">
        <v>82</v>
      </c>
      <c r="AD377" s="218">
        <v>99</v>
      </c>
      <c r="AE377" s="218">
        <v>114</v>
      </c>
      <c r="AG377" s="283" t="str">
        <f t="shared" si="16"/>
        <v/>
      </c>
    </row>
    <row r="378" spans="2:34" s="218" customFormat="1" hidden="1">
      <c r="B378" s="226"/>
      <c r="C378" s="226">
        <v>55</v>
      </c>
      <c r="D378" s="226">
        <v>0</v>
      </c>
      <c r="E378" s="226">
        <v>2</v>
      </c>
      <c r="F378" s="226">
        <v>3</v>
      </c>
      <c r="G378" s="226">
        <v>4</v>
      </c>
      <c r="H378" s="226">
        <v>8</v>
      </c>
      <c r="I378" s="226">
        <v>10</v>
      </c>
      <c r="J378" s="226"/>
      <c r="K378" s="282" t="str">
        <f t="shared" si="14"/>
        <v/>
      </c>
      <c r="L378" s="226"/>
      <c r="M378" s="226"/>
      <c r="N378" s="226">
        <v>55</v>
      </c>
      <c r="O378" s="226">
        <v>0</v>
      </c>
      <c r="P378" s="226">
        <v>3</v>
      </c>
      <c r="Q378" s="226">
        <v>4</v>
      </c>
      <c r="R378" s="226">
        <v>5</v>
      </c>
      <c r="S378" s="226">
        <v>6</v>
      </c>
      <c r="T378" s="226">
        <v>7</v>
      </c>
      <c r="U378" s="226"/>
      <c r="V378" s="282" t="str">
        <f t="shared" si="15"/>
        <v/>
      </c>
      <c r="W378" s="226"/>
      <c r="Y378" s="218">
        <v>55</v>
      </c>
      <c r="Z378" s="218">
        <v>0</v>
      </c>
      <c r="AA378" s="218">
        <v>27</v>
      </c>
      <c r="AB378" s="218">
        <v>53</v>
      </c>
      <c r="AC378" s="218">
        <v>65</v>
      </c>
      <c r="AD378" s="218">
        <v>83</v>
      </c>
      <c r="AE378" s="218">
        <v>102</v>
      </c>
      <c r="AG378" s="283" t="str">
        <f t="shared" si="16"/>
        <v/>
      </c>
    </row>
    <row r="379" spans="2:34" s="218" customFormat="1" hidden="1">
      <c r="B379" s="226"/>
      <c r="C379" s="226">
        <v>65</v>
      </c>
      <c r="D379" s="226">
        <v>0</v>
      </c>
      <c r="E379" s="226">
        <v>2</v>
      </c>
      <c r="F379" s="226">
        <v>3</v>
      </c>
      <c r="G379" s="226">
        <v>4</v>
      </c>
      <c r="H379" s="226">
        <v>6</v>
      </c>
      <c r="I379" s="226">
        <v>8</v>
      </c>
      <c r="J379" s="226"/>
      <c r="K379" s="282" t="str">
        <f t="shared" si="14"/>
        <v/>
      </c>
      <c r="L379" s="226"/>
      <c r="M379" s="226"/>
      <c r="N379" s="226">
        <v>65</v>
      </c>
      <c r="O379" s="226">
        <v>0</v>
      </c>
      <c r="P379" s="226">
        <v>2</v>
      </c>
      <c r="Q379" s="226">
        <v>4</v>
      </c>
      <c r="R379" s="226">
        <v>5</v>
      </c>
      <c r="S379" s="226">
        <v>6</v>
      </c>
      <c r="T379" s="226">
        <v>7</v>
      </c>
      <c r="U379" s="226"/>
      <c r="V379" s="282" t="str">
        <f t="shared" si="15"/>
        <v/>
      </c>
      <c r="W379" s="226"/>
      <c r="Y379" s="218">
        <v>65</v>
      </c>
      <c r="Z379" s="218">
        <v>0</v>
      </c>
      <c r="AA379" s="218">
        <v>19</v>
      </c>
      <c r="AB379" s="218">
        <v>39</v>
      </c>
      <c r="AC379" s="218">
        <v>59</v>
      </c>
      <c r="AD379" s="218">
        <v>73</v>
      </c>
      <c r="AE379" s="218">
        <v>93</v>
      </c>
      <c r="AG379" s="283" t="str">
        <f t="shared" si="16"/>
        <v/>
      </c>
    </row>
    <row r="380" spans="2:34" s="218" customFormat="1" hidden="1">
      <c r="B380" s="226"/>
      <c r="C380" s="226">
        <v>70</v>
      </c>
      <c r="D380" s="226">
        <v>0</v>
      </c>
      <c r="E380" s="226">
        <v>1</v>
      </c>
      <c r="F380" s="226">
        <v>3</v>
      </c>
      <c r="G380" s="226">
        <v>4</v>
      </c>
      <c r="H380" s="226">
        <v>6</v>
      </c>
      <c r="I380" s="226">
        <v>8</v>
      </c>
      <c r="J380" s="226"/>
      <c r="K380" s="282" t="str">
        <f t="shared" si="14"/>
        <v/>
      </c>
      <c r="L380" s="226"/>
      <c r="M380" s="226"/>
      <c r="N380" s="226">
        <v>70</v>
      </c>
      <c r="O380" s="226">
        <v>0</v>
      </c>
      <c r="P380" s="226">
        <v>2</v>
      </c>
      <c r="Q380" s="226">
        <v>4</v>
      </c>
      <c r="R380" s="226">
        <v>5</v>
      </c>
      <c r="S380" s="226">
        <v>6</v>
      </c>
      <c r="T380" s="226">
        <v>7</v>
      </c>
      <c r="U380" s="226"/>
      <c r="V380" s="282" t="str">
        <f t="shared" si="15"/>
        <v/>
      </c>
      <c r="W380" s="226"/>
      <c r="Y380" s="218">
        <v>70</v>
      </c>
      <c r="Z380" s="218">
        <v>0</v>
      </c>
      <c r="AA380" s="218">
        <v>45</v>
      </c>
      <c r="AB380" s="218">
        <v>53</v>
      </c>
      <c r="AC380" s="218">
        <v>60</v>
      </c>
      <c r="AD380" s="218">
        <v>74</v>
      </c>
      <c r="AE380" s="218">
        <v>90</v>
      </c>
      <c r="AG380" s="283" t="str">
        <f t="shared" si="16"/>
        <v/>
      </c>
    </row>
    <row r="381" spans="2:34" s="218" customFormat="1" hidden="1">
      <c r="B381" s="226"/>
      <c r="C381" s="226">
        <v>75</v>
      </c>
      <c r="D381" s="226">
        <v>0</v>
      </c>
      <c r="E381" s="226">
        <v>2</v>
      </c>
      <c r="F381" s="226">
        <v>3</v>
      </c>
      <c r="G381" s="226">
        <v>4</v>
      </c>
      <c r="H381" s="226">
        <v>6</v>
      </c>
      <c r="I381" s="226">
        <v>9</v>
      </c>
      <c r="J381" s="226"/>
      <c r="K381" s="282" t="str">
        <f t="shared" si="14"/>
        <v/>
      </c>
      <c r="L381" s="226"/>
      <c r="M381" s="226"/>
      <c r="N381" s="226">
        <v>75</v>
      </c>
      <c r="O381" s="226">
        <v>0</v>
      </c>
      <c r="P381" s="226">
        <v>2</v>
      </c>
      <c r="Q381" s="226">
        <v>4</v>
      </c>
      <c r="R381" s="226">
        <v>4</v>
      </c>
      <c r="S381" s="226">
        <v>5</v>
      </c>
      <c r="T381" s="226">
        <v>6</v>
      </c>
      <c r="U381" s="226"/>
      <c r="V381" s="282" t="str">
        <f t="shared" si="15"/>
        <v/>
      </c>
      <c r="W381" s="226"/>
      <c r="Y381" s="218">
        <v>75</v>
      </c>
      <c r="Z381" s="218">
        <v>0</v>
      </c>
      <c r="AA381" s="218">
        <v>35</v>
      </c>
      <c r="AB381" s="218">
        <v>49</v>
      </c>
      <c r="AC381" s="218">
        <v>55</v>
      </c>
      <c r="AD381" s="218">
        <v>68</v>
      </c>
      <c r="AE381" s="218">
        <v>83</v>
      </c>
      <c r="AG381" s="283" t="str">
        <f t="shared" si="16"/>
        <v/>
      </c>
    </row>
    <row r="382" spans="2:34" s="218" customFormat="1" hidden="1">
      <c r="B382" s="226"/>
      <c r="C382" s="226">
        <v>80</v>
      </c>
      <c r="D382" s="226">
        <v>0</v>
      </c>
      <c r="E382" s="226">
        <v>0</v>
      </c>
      <c r="F382" s="226">
        <v>1</v>
      </c>
      <c r="G382" s="226">
        <v>2</v>
      </c>
      <c r="H382" s="226">
        <v>5</v>
      </c>
      <c r="I382" s="226">
        <v>8</v>
      </c>
      <c r="J382" s="226"/>
      <c r="K382" s="282" t="str">
        <f t="shared" si="14"/>
        <v/>
      </c>
      <c r="L382" s="226"/>
      <c r="M382" s="226"/>
      <c r="N382" s="226">
        <v>80</v>
      </c>
      <c r="O382" s="226">
        <v>0</v>
      </c>
      <c r="P382" s="226">
        <v>2</v>
      </c>
      <c r="Q382" s="226">
        <v>3</v>
      </c>
      <c r="R382" s="226">
        <v>4</v>
      </c>
      <c r="S382" s="226">
        <v>5</v>
      </c>
      <c r="T382" s="226">
        <v>6</v>
      </c>
      <c r="U382" s="226"/>
      <c r="V382" s="282" t="str">
        <f t="shared" si="15"/>
        <v/>
      </c>
      <c r="W382" s="226"/>
      <c r="Y382" s="218">
        <v>80</v>
      </c>
      <c r="Z382" s="218">
        <v>0</v>
      </c>
      <c r="AA382" s="218">
        <v>23</v>
      </c>
      <c r="AB382" s="218">
        <v>32</v>
      </c>
      <c r="AC382" s="218">
        <v>45</v>
      </c>
      <c r="AD382" s="218">
        <v>59</v>
      </c>
      <c r="AE382" s="218">
        <v>77</v>
      </c>
      <c r="AG382" s="283" t="str">
        <f t="shared" si="16"/>
        <v/>
      </c>
    </row>
    <row r="383" spans="2:34" s="218" customFormat="1" hidden="1">
      <c r="B383" s="226"/>
      <c r="C383" s="226">
        <v>85</v>
      </c>
      <c r="D383" s="226">
        <v>0</v>
      </c>
      <c r="E383" s="226">
        <v>0</v>
      </c>
      <c r="F383" s="226">
        <v>1</v>
      </c>
      <c r="G383" s="226">
        <v>2</v>
      </c>
      <c r="H383" s="226">
        <v>4</v>
      </c>
      <c r="I383" s="226">
        <v>8</v>
      </c>
      <c r="J383" s="226"/>
      <c r="K383" s="282" t="str">
        <f t="shared" si="14"/>
        <v/>
      </c>
      <c r="L383" s="226"/>
      <c r="M383" s="226"/>
      <c r="N383" s="226">
        <v>85</v>
      </c>
      <c r="O383" s="226">
        <v>0</v>
      </c>
      <c r="P383" s="226">
        <v>1</v>
      </c>
      <c r="Q383" s="226">
        <v>3</v>
      </c>
      <c r="R383" s="226">
        <v>4</v>
      </c>
      <c r="S383" s="226">
        <v>5</v>
      </c>
      <c r="T383" s="226">
        <v>6</v>
      </c>
      <c r="U383" s="226"/>
      <c r="V383" s="282" t="str">
        <f t="shared" si="15"/>
        <v/>
      </c>
      <c r="W383" s="226"/>
      <c r="Y383" s="218">
        <v>85</v>
      </c>
      <c r="Z383" s="218">
        <v>0</v>
      </c>
      <c r="AA383" s="218">
        <v>20</v>
      </c>
      <c r="AB383" s="218">
        <v>25</v>
      </c>
      <c r="AC383" s="218">
        <v>37</v>
      </c>
      <c r="AD383" s="218">
        <v>45</v>
      </c>
      <c r="AE383" s="218">
        <v>62</v>
      </c>
      <c r="AG383" s="283" t="str">
        <f t="shared" si="16"/>
        <v/>
      </c>
    </row>
    <row r="384" spans="2:34" s="218" customFormat="1" hidden="1">
      <c r="B384" s="226"/>
      <c r="C384" s="226"/>
      <c r="D384" s="226"/>
      <c r="E384" s="226"/>
      <c r="F384" s="226"/>
      <c r="G384" s="226"/>
      <c r="H384" s="226"/>
      <c r="I384" s="226"/>
      <c r="J384" s="226"/>
      <c r="K384" s="226"/>
      <c r="L384" s="226"/>
      <c r="M384" s="226"/>
      <c r="N384" s="226"/>
      <c r="O384" s="226"/>
      <c r="P384" s="226"/>
      <c r="Q384" s="226"/>
      <c r="R384" s="226"/>
      <c r="S384" s="226"/>
      <c r="T384" s="226"/>
      <c r="U384" s="226"/>
      <c r="V384" s="226"/>
      <c r="W384" s="226"/>
    </row>
    <row r="385" s="218" customFormat="1" hidden="1"/>
    <row r="386" s="218" customFormat="1" hidden="1"/>
    <row r="387" s="218" customFormat="1" hidden="1"/>
    <row r="388" s="218" customFormat="1" hidden="1"/>
    <row r="389" s="218" customFormat="1" hidden="1"/>
    <row r="390" s="218" customFormat="1" hidden="1"/>
    <row r="391" s="218" customFormat="1" hidden="1"/>
    <row r="392" s="218" customFormat="1" hidden="1"/>
    <row r="393" s="218" customFormat="1" hidden="1"/>
    <row r="394" s="218" customFormat="1" hidden="1"/>
    <row r="395" s="218" customFormat="1" hidden="1"/>
    <row r="396" s="218" customFormat="1" hidden="1"/>
    <row r="397" s="218" customFormat="1" hidden="1"/>
    <row r="398" s="218" customFormat="1" hidden="1"/>
    <row r="399" s="218" customFormat="1" hidden="1"/>
    <row r="400" s="218" customFormat="1" hidden="1"/>
    <row r="401" spans="3:30" s="218" customFormat="1" hidden="1"/>
    <row r="402" spans="3:30" s="218" customFormat="1" hidden="1"/>
    <row r="403" spans="3:30" s="218" customFormat="1" hidden="1"/>
    <row r="404" spans="3:30" s="218" customFormat="1" hidden="1"/>
    <row r="405" spans="3:30" s="218" customFormat="1" hidden="1"/>
    <row r="406" spans="3:30" s="218" customFormat="1" hidden="1"/>
    <row r="407" spans="3:30" s="218" customFormat="1" hidden="1"/>
    <row r="408" spans="3:30" s="218" customFormat="1" hidden="1"/>
    <row r="409" spans="3:30" s="218" customFormat="1" hidden="1"/>
    <row r="410" spans="3:30" s="218" customFormat="1" hidden="1"/>
    <row r="411" spans="3:30" s="218" customFormat="1" hidden="1"/>
    <row r="412" spans="3:30" s="218" customFormat="1" hidden="1">
      <c r="D412" s="218">
        <v>1</v>
      </c>
      <c r="E412" s="218">
        <v>70</v>
      </c>
      <c r="F412" s="218">
        <v>80</v>
      </c>
      <c r="G412" s="218">
        <v>90</v>
      </c>
      <c r="H412" s="218">
        <v>110</v>
      </c>
      <c r="I412" s="218">
        <v>120</v>
      </c>
      <c r="J412" s="218">
        <v>130</v>
      </c>
      <c r="X412" s="219"/>
      <c r="Y412" s="219"/>
      <c r="Z412" s="219"/>
      <c r="AA412" s="219"/>
      <c r="AD412" s="219"/>
    </row>
    <row r="413" spans="3:30" s="218" customFormat="1" hidden="1">
      <c r="D413" s="218" t="s">
        <v>80</v>
      </c>
      <c r="E413" s="218" t="s">
        <v>81</v>
      </c>
      <c r="F413" s="218" t="s">
        <v>82</v>
      </c>
      <c r="G413" s="218" t="s">
        <v>83</v>
      </c>
      <c r="H413" s="218" t="s">
        <v>84</v>
      </c>
      <c r="I413" s="218" t="s">
        <v>85</v>
      </c>
      <c r="J413" s="218" t="s">
        <v>86</v>
      </c>
      <c r="X413" s="219"/>
      <c r="Y413" s="219"/>
      <c r="Z413" s="219"/>
      <c r="AA413" s="219"/>
      <c r="AD413" s="219"/>
    </row>
    <row r="414" spans="3:30" s="218" customFormat="1" hidden="1">
      <c r="C414" s="218" t="s">
        <v>87</v>
      </c>
      <c r="D414" s="218">
        <v>46</v>
      </c>
      <c r="E414" s="218">
        <v>55</v>
      </c>
      <c r="F414" s="218">
        <v>67</v>
      </c>
      <c r="G414" s="218">
        <v>75</v>
      </c>
      <c r="H414" s="218">
        <v>86</v>
      </c>
      <c r="I414" s="218">
        <v>95</v>
      </c>
      <c r="J414" s="218">
        <v>106</v>
      </c>
      <c r="K414" s="218">
        <v>116</v>
      </c>
      <c r="L414" s="218">
        <v>127</v>
      </c>
      <c r="M414" s="218">
        <v>135</v>
      </c>
      <c r="N414" s="218">
        <v>147</v>
      </c>
      <c r="O414" s="218">
        <v>155</v>
      </c>
      <c r="X414" s="219"/>
      <c r="Y414" s="219"/>
      <c r="Z414" s="219"/>
      <c r="AA414" s="219"/>
      <c r="AD414" s="219"/>
    </row>
    <row r="415" spans="3:30" s="218" customFormat="1" hidden="1">
      <c r="C415" s="218" t="s">
        <v>88</v>
      </c>
      <c r="D415" s="218">
        <v>-4</v>
      </c>
      <c r="E415" s="218">
        <v>-4</v>
      </c>
      <c r="F415" s="218">
        <v>-5</v>
      </c>
      <c r="G415" s="218">
        <v>-5</v>
      </c>
      <c r="H415" s="218">
        <v>-6</v>
      </c>
      <c r="I415" s="218">
        <v>-6</v>
      </c>
      <c r="J415" s="218">
        <v>-7</v>
      </c>
      <c r="K415" s="218">
        <v>-7</v>
      </c>
      <c r="L415" s="218">
        <v>-8</v>
      </c>
      <c r="M415" s="218">
        <v>-8</v>
      </c>
      <c r="N415" s="218">
        <v>-9</v>
      </c>
      <c r="O415" s="218">
        <v>-9</v>
      </c>
      <c r="X415" s="219"/>
      <c r="Y415" s="219"/>
      <c r="Z415" s="219"/>
      <c r="AA415" s="219"/>
      <c r="AD415" s="219"/>
    </row>
    <row r="416" spans="3:30" s="218" customFormat="1" hidden="1">
      <c r="C416" s="218" t="s">
        <v>89</v>
      </c>
      <c r="D416" s="218">
        <v>9</v>
      </c>
      <c r="E416" s="218">
        <v>8</v>
      </c>
      <c r="F416" s="218">
        <v>8</v>
      </c>
      <c r="G416" s="218">
        <v>7</v>
      </c>
      <c r="H416" s="218">
        <v>7</v>
      </c>
      <c r="I416" s="218">
        <v>6</v>
      </c>
      <c r="J416" s="218">
        <v>6</v>
      </c>
      <c r="K416" s="218">
        <v>5</v>
      </c>
      <c r="L416" s="218">
        <v>5</v>
      </c>
      <c r="M416" s="218">
        <v>4</v>
      </c>
      <c r="N416" s="218">
        <v>4</v>
      </c>
      <c r="O416" s="218">
        <v>3</v>
      </c>
      <c r="X416" s="219"/>
      <c r="Y416" s="219"/>
      <c r="Z416" s="219"/>
      <c r="AA416" s="219"/>
      <c r="AD416" s="219"/>
    </row>
    <row r="417" spans="3:29" s="218" customFormat="1" hidden="1">
      <c r="C417" s="218" t="s">
        <v>90</v>
      </c>
      <c r="D417" s="218">
        <v>45</v>
      </c>
      <c r="E417" s="218">
        <v>47</v>
      </c>
      <c r="F417" s="218">
        <v>55</v>
      </c>
      <c r="G417" s="218">
        <v>63</v>
      </c>
      <c r="H417" s="218">
        <v>72</v>
      </c>
      <c r="I417" s="218">
        <v>79</v>
      </c>
      <c r="J417" s="218">
        <v>88</v>
      </c>
      <c r="K417" s="218">
        <v>96</v>
      </c>
      <c r="L417" s="218">
        <v>105</v>
      </c>
      <c r="M417" s="218">
        <v>114</v>
      </c>
      <c r="N417" s="218">
        <v>123</v>
      </c>
      <c r="O417" s="218">
        <v>129</v>
      </c>
      <c r="P417" s="218">
        <v>140</v>
      </c>
      <c r="Q417" s="218">
        <v>146</v>
      </c>
      <c r="R417" s="218">
        <v>155</v>
      </c>
      <c r="W417" s="219"/>
      <c r="X417" s="219"/>
      <c r="Y417" s="219"/>
      <c r="Z417" s="219"/>
      <c r="AC417" s="219"/>
    </row>
    <row r="418" spans="3:29" s="218" customFormat="1" hidden="1">
      <c r="C418" s="218" t="s">
        <v>91</v>
      </c>
      <c r="D418" s="218">
        <v>-3</v>
      </c>
      <c r="E418" s="218">
        <v>-4</v>
      </c>
      <c r="F418" s="218">
        <v>-4</v>
      </c>
      <c r="G418" s="218">
        <v>-5</v>
      </c>
      <c r="H418" s="218">
        <v>-5</v>
      </c>
      <c r="I418" s="218">
        <v>-6</v>
      </c>
      <c r="J418" s="218">
        <v>-6</v>
      </c>
      <c r="K418" s="218">
        <v>-7</v>
      </c>
      <c r="L418" s="218">
        <v>-7</v>
      </c>
      <c r="M418" s="218">
        <v>-8</v>
      </c>
      <c r="N418" s="218">
        <v>-8</v>
      </c>
      <c r="O418" s="218">
        <v>-9</v>
      </c>
      <c r="P418" s="218">
        <v>-9</v>
      </c>
      <c r="Q418" s="218">
        <v>-9</v>
      </c>
      <c r="R418" s="218">
        <v>-9</v>
      </c>
      <c r="W418" s="219"/>
      <c r="X418" s="219"/>
      <c r="Y418" s="219"/>
      <c r="Z418" s="219"/>
      <c r="AC418" s="219"/>
    </row>
    <row r="419" spans="3:29" s="218" customFormat="1" hidden="1">
      <c r="C419" s="218" t="s">
        <v>92</v>
      </c>
      <c r="D419" s="218">
        <v>10</v>
      </c>
      <c r="E419" s="218">
        <v>10</v>
      </c>
      <c r="F419" s="218">
        <v>9</v>
      </c>
      <c r="G419" s="218">
        <v>9</v>
      </c>
      <c r="H419" s="218">
        <v>8</v>
      </c>
      <c r="I419" s="218">
        <v>8</v>
      </c>
      <c r="J419" s="218">
        <v>7</v>
      </c>
      <c r="K419" s="218">
        <v>7</v>
      </c>
      <c r="L419" s="218">
        <v>6</v>
      </c>
      <c r="M419" s="218">
        <v>6</v>
      </c>
      <c r="N419" s="218">
        <v>5</v>
      </c>
      <c r="O419" s="218">
        <v>5</v>
      </c>
      <c r="P419" s="218">
        <v>4</v>
      </c>
      <c r="Q419" s="218">
        <v>4</v>
      </c>
      <c r="R419" s="218">
        <v>3</v>
      </c>
      <c r="W419" s="219"/>
      <c r="X419" s="219"/>
      <c r="Y419" s="219"/>
      <c r="Z419" s="219"/>
      <c r="AC419" s="219"/>
    </row>
    <row r="420" spans="3:29" s="218" customFormat="1" hidden="1">
      <c r="C420" s="218" t="s">
        <v>93</v>
      </c>
      <c r="D420" s="218">
        <v>40</v>
      </c>
      <c r="E420" s="218">
        <v>48</v>
      </c>
      <c r="F420" s="218">
        <v>53</v>
      </c>
      <c r="G420" s="218">
        <v>82</v>
      </c>
      <c r="H420" s="218">
        <v>86</v>
      </c>
      <c r="I420" s="218">
        <v>112</v>
      </c>
      <c r="J420" s="218">
        <v>115</v>
      </c>
      <c r="K420" s="218">
        <v>119</v>
      </c>
      <c r="L420" s="218">
        <v>148</v>
      </c>
      <c r="M420" s="218">
        <v>153</v>
      </c>
      <c r="W420" s="219"/>
      <c r="X420" s="219"/>
      <c r="Y420" s="219"/>
      <c r="Z420" s="219"/>
      <c r="AC420" s="219"/>
    </row>
    <row r="421" spans="3:29" s="218" customFormat="1" hidden="1">
      <c r="C421" s="218" t="s">
        <v>94</v>
      </c>
      <c r="D421" s="218">
        <v>-3</v>
      </c>
      <c r="E421" s="218">
        <v>-3</v>
      </c>
      <c r="F421" s="218">
        <v>-4</v>
      </c>
      <c r="G421" s="218">
        <v>-4</v>
      </c>
      <c r="H421" s="218">
        <v>-5</v>
      </c>
      <c r="I421" s="218">
        <v>-5</v>
      </c>
      <c r="J421" s="218">
        <v>-5</v>
      </c>
      <c r="K421" s="218">
        <v>-6</v>
      </c>
      <c r="L421" s="218">
        <v>-6</v>
      </c>
      <c r="M421" s="218">
        <v>-7</v>
      </c>
      <c r="W421" s="219"/>
      <c r="X421" s="219"/>
      <c r="Y421" s="219"/>
      <c r="Z421" s="219"/>
      <c r="AC421" s="219"/>
    </row>
    <row r="422" spans="3:29" s="218" customFormat="1" hidden="1">
      <c r="C422" s="218" t="s">
        <v>95</v>
      </c>
      <c r="D422" s="218">
        <v>7</v>
      </c>
      <c r="E422" s="218">
        <v>6</v>
      </c>
      <c r="F422" s="218">
        <v>6</v>
      </c>
      <c r="G422" s="218">
        <v>5</v>
      </c>
      <c r="H422" s="218">
        <v>5</v>
      </c>
      <c r="I422" s="218">
        <v>5</v>
      </c>
      <c r="J422" s="218">
        <v>4</v>
      </c>
      <c r="K422" s="218">
        <v>4</v>
      </c>
      <c r="L422" s="218">
        <v>3</v>
      </c>
      <c r="M422" s="218">
        <v>3</v>
      </c>
      <c r="W422" s="219"/>
      <c r="X422" s="219"/>
      <c r="Y422" s="219"/>
      <c r="Z422" s="219"/>
      <c r="AC422" s="219"/>
    </row>
    <row r="423" spans="3:29" s="218" customFormat="1" hidden="1">
      <c r="C423" s="218" t="s">
        <v>101</v>
      </c>
      <c r="D423" s="218">
        <v>46</v>
      </c>
      <c r="E423" s="218">
        <v>49</v>
      </c>
      <c r="F423" s="218">
        <v>56</v>
      </c>
      <c r="G423" s="218">
        <v>60</v>
      </c>
      <c r="H423" s="218">
        <v>64</v>
      </c>
      <c r="I423" s="218">
        <v>68</v>
      </c>
      <c r="J423" s="218">
        <v>73</v>
      </c>
      <c r="K423" s="218">
        <v>75</v>
      </c>
      <c r="L423" s="218">
        <v>83</v>
      </c>
      <c r="M423" s="218">
        <v>85</v>
      </c>
      <c r="N423" s="218">
        <v>91</v>
      </c>
      <c r="O423" s="218">
        <v>94</v>
      </c>
      <c r="P423" s="218">
        <v>100</v>
      </c>
      <c r="Q423" s="218">
        <v>102</v>
      </c>
      <c r="R423" s="218">
        <v>110</v>
      </c>
      <c r="S423" s="218">
        <v>113</v>
      </c>
      <c r="T423" s="218">
        <v>119</v>
      </c>
      <c r="U423" s="218">
        <v>122</v>
      </c>
      <c r="V423" s="218">
        <v>128</v>
      </c>
      <c r="W423" s="218">
        <v>131</v>
      </c>
      <c r="X423" s="219">
        <v>137</v>
      </c>
      <c r="Y423" s="219">
        <v>140</v>
      </c>
      <c r="Z423" s="219">
        <v>145</v>
      </c>
      <c r="AA423" s="219">
        <v>150</v>
      </c>
      <c r="AC423" s="219"/>
    </row>
    <row r="424" spans="3:29" s="218" customFormat="1" hidden="1">
      <c r="C424" s="218" t="s">
        <v>101</v>
      </c>
      <c r="D424" s="218">
        <v>-3</v>
      </c>
      <c r="E424" s="218">
        <v>-3</v>
      </c>
      <c r="F424" s="218">
        <v>-4</v>
      </c>
      <c r="G424" s="218">
        <v>-4</v>
      </c>
      <c r="H424" s="218">
        <v>-5</v>
      </c>
      <c r="I424" s="218">
        <v>-5</v>
      </c>
      <c r="J424" s="218">
        <v>-6</v>
      </c>
      <c r="K424" s="218">
        <v>-6</v>
      </c>
      <c r="L424" s="218">
        <v>-7</v>
      </c>
      <c r="M424" s="218">
        <v>-7</v>
      </c>
      <c r="N424" s="218">
        <v>-8</v>
      </c>
      <c r="O424" s="218">
        <v>-8</v>
      </c>
      <c r="P424" s="218">
        <v>-9</v>
      </c>
      <c r="Q424" s="218">
        <v>-9</v>
      </c>
      <c r="R424" s="218">
        <v>-10</v>
      </c>
      <c r="S424" s="218">
        <v>-10</v>
      </c>
      <c r="T424" s="218">
        <v>-11</v>
      </c>
      <c r="U424" s="218">
        <v>-11</v>
      </c>
      <c r="V424" s="218">
        <v>-12</v>
      </c>
      <c r="W424" s="218">
        <v>-12</v>
      </c>
      <c r="X424" s="219">
        <v>-13</v>
      </c>
      <c r="Y424" s="219">
        <v>-13</v>
      </c>
      <c r="Z424" s="219">
        <v>-14</v>
      </c>
      <c r="AA424" s="219">
        <v>-14</v>
      </c>
      <c r="AC424" s="219"/>
    </row>
    <row r="425" spans="3:29" s="218" customFormat="1" hidden="1">
      <c r="C425" s="218" t="s">
        <v>101</v>
      </c>
      <c r="D425" s="218">
        <v>15</v>
      </c>
      <c r="E425" s="218">
        <v>14</v>
      </c>
      <c r="F425" s="218">
        <v>14</v>
      </c>
      <c r="G425" s="218">
        <v>13</v>
      </c>
      <c r="H425" s="218">
        <v>13</v>
      </c>
      <c r="I425" s="218">
        <v>12</v>
      </c>
      <c r="J425" s="218">
        <v>13</v>
      </c>
      <c r="K425" s="218">
        <v>11</v>
      </c>
      <c r="L425" s="218">
        <v>11</v>
      </c>
      <c r="M425" s="218">
        <v>10</v>
      </c>
      <c r="N425" s="218">
        <v>10</v>
      </c>
      <c r="O425" s="218">
        <v>9</v>
      </c>
      <c r="P425" s="218">
        <v>9</v>
      </c>
      <c r="Q425" s="218">
        <v>8</v>
      </c>
      <c r="R425" s="218">
        <v>8</v>
      </c>
      <c r="S425" s="218">
        <v>7</v>
      </c>
      <c r="T425" s="218">
        <v>7</v>
      </c>
      <c r="U425" s="218">
        <v>6</v>
      </c>
      <c r="V425" s="218">
        <v>6</v>
      </c>
      <c r="W425" s="218">
        <v>5</v>
      </c>
      <c r="X425" s="219">
        <v>5</v>
      </c>
      <c r="Y425" s="219">
        <v>4</v>
      </c>
      <c r="Z425" s="219">
        <v>4</v>
      </c>
      <c r="AA425" s="219">
        <v>3</v>
      </c>
      <c r="AC425" s="219"/>
    </row>
    <row r="426" spans="3:29" s="218" customFormat="1" hidden="1">
      <c r="C426" s="218" t="s">
        <v>142</v>
      </c>
      <c r="D426" s="218">
        <v>45</v>
      </c>
      <c r="E426" s="218">
        <v>50</v>
      </c>
      <c r="F426" s="218">
        <v>54</v>
      </c>
      <c r="G426" s="218">
        <v>63</v>
      </c>
      <c r="H426" s="218">
        <v>67</v>
      </c>
      <c r="I426" s="218">
        <v>75</v>
      </c>
      <c r="J426" s="218">
        <v>78</v>
      </c>
      <c r="K426" s="218">
        <v>86</v>
      </c>
      <c r="L426" s="218">
        <v>91</v>
      </c>
      <c r="M426" s="218">
        <v>100</v>
      </c>
      <c r="N426" s="218">
        <v>103</v>
      </c>
      <c r="O426" s="218">
        <v>113</v>
      </c>
      <c r="P426" s="218">
        <v>116</v>
      </c>
      <c r="Q426" s="218">
        <v>125</v>
      </c>
      <c r="R426" s="218">
        <v>128</v>
      </c>
      <c r="S426" s="218">
        <v>138</v>
      </c>
      <c r="T426" s="218">
        <v>141</v>
      </c>
      <c r="U426" s="218">
        <v>147</v>
      </c>
      <c r="V426" s="218">
        <v>152</v>
      </c>
      <c r="W426" s="219"/>
      <c r="X426" s="219"/>
      <c r="Y426" s="219"/>
      <c r="Z426" s="219"/>
      <c r="AC426" s="219"/>
    </row>
    <row r="427" spans="3:29" s="218" customFormat="1" hidden="1">
      <c r="C427" s="218" t="s">
        <v>142</v>
      </c>
      <c r="D427" s="218">
        <v>-3</v>
      </c>
      <c r="E427" s="218">
        <v>-4</v>
      </c>
      <c r="F427" s="218">
        <v>-4</v>
      </c>
      <c r="G427" s="218">
        <v>-5</v>
      </c>
      <c r="H427" s="218">
        <v>-5</v>
      </c>
      <c r="I427" s="218">
        <v>-6</v>
      </c>
      <c r="J427" s="218">
        <v>-6</v>
      </c>
      <c r="K427" s="218">
        <v>-7</v>
      </c>
      <c r="L427" s="218">
        <v>-7</v>
      </c>
      <c r="M427" s="218">
        <v>-8</v>
      </c>
      <c r="N427" s="218">
        <v>-8</v>
      </c>
      <c r="O427" s="218">
        <v>-9</v>
      </c>
      <c r="P427" s="218">
        <v>-9</v>
      </c>
      <c r="Q427" s="218">
        <v>-10</v>
      </c>
      <c r="R427" s="218">
        <v>-10</v>
      </c>
      <c r="S427" s="218">
        <v>-11</v>
      </c>
      <c r="T427" s="218">
        <v>-11</v>
      </c>
      <c r="U427" s="218">
        <v>-12</v>
      </c>
      <c r="V427" s="218">
        <v>-12</v>
      </c>
      <c r="W427" s="219"/>
      <c r="X427" s="219"/>
      <c r="Y427" s="219"/>
      <c r="Z427" s="219"/>
      <c r="AC427" s="219"/>
    </row>
    <row r="428" spans="3:29" s="218" customFormat="1" hidden="1">
      <c r="C428" s="218" t="s">
        <v>142</v>
      </c>
      <c r="D428" s="218">
        <v>12</v>
      </c>
      <c r="E428" s="218">
        <v>12</v>
      </c>
      <c r="F428" s="218">
        <v>11</v>
      </c>
      <c r="G428" s="218">
        <v>11</v>
      </c>
      <c r="H428" s="218">
        <v>10</v>
      </c>
      <c r="I428" s="218">
        <v>10</v>
      </c>
      <c r="J428" s="218">
        <v>9</v>
      </c>
      <c r="K428" s="218">
        <v>9</v>
      </c>
      <c r="L428" s="218">
        <v>8</v>
      </c>
      <c r="M428" s="218">
        <v>8</v>
      </c>
      <c r="N428" s="218">
        <v>7</v>
      </c>
      <c r="O428" s="218">
        <v>7</v>
      </c>
      <c r="P428" s="218">
        <v>6</v>
      </c>
      <c r="Q428" s="218">
        <v>6</v>
      </c>
      <c r="R428" s="218">
        <v>5</v>
      </c>
      <c r="S428" s="218">
        <v>5</v>
      </c>
      <c r="T428" s="218">
        <v>4</v>
      </c>
      <c r="U428" s="218">
        <v>4</v>
      </c>
      <c r="V428" s="218">
        <v>3</v>
      </c>
      <c r="W428" s="219"/>
      <c r="X428" s="219"/>
      <c r="Y428" s="219"/>
      <c r="Z428" s="219"/>
      <c r="AC428" s="219"/>
    </row>
    <row r="429" spans="3:29" s="218" customFormat="1" hidden="1">
      <c r="C429" s="218" t="s">
        <v>7</v>
      </c>
      <c r="D429" s="218">
        <v>50</v>
      </c>
      <c r="E429" s="218">
        <v>55</v>
      </c>
      <c r="F429" s="218">
        <v>63</v>
      </c>
      <c r="G429" s="218">
        <v>73</v>
      </c>
      <c r="H429" s="218">
        <v>80</v>
      </c>
      <c r="I429" s="218">
        <v>88</v>
      </c>
      <c r="J429" s="218">
        <v>97</v>
      </c>
      <c r="K429" s="218">
        <v>106</v>
      </c>
      <c r="L429" s="218">
        <v>113</v>
      </c>
      <c r="M429" s="218">
        <v>124</v>
      </c>
      <c r="N429" s="218">
        <v>130</v>
      </c>
      <c r="O429" s="218">
        <v>139</v>
      </c>
      <c r="P429" s="218">
        <v>147</v>
      </c>
      <c r="W429" s="219"/>
      <c r="X429" s="219"/>
      <c r="Y429" s="219"/>
      <c r="Z429" s="219"/>
      <c r="AC429" s="219"/>
    </row>
    <row r="430" spans="3:29" s="218" customFormat="1" hidden="1">
      <c r="C430" s="218" t="s">
        <v>96</v>
      </c>
      <c r="D430" s="218">
        <v>-4</v>
      </c>
      <c r="E430" s="218">
        <v>-4</v>
      </c>
      <c r="F430" s="218">
        <v>-5</v>
      </c>
      <c r="G430" s="218">
        <v>-5</v>
      </c>
      <c r="H430" s="218">
        <v>-6</v>
      </c>
      <c r="I430" s="218">
        <v>-6</v>
      </c>
      <c r="J430" s="218">
        <v>-7</v>
      </c>
      <c r="K430" s="218">
        <v>-7</v>
      </c>
      <c r="L430" s="218">
        <v>-8</v>
      </c>
      <c r="M430" s="218">
        <v>-8</v>
      </c>
      <c r="N430" s="218">
        <v>-9</v>
      </c>
      <c r="O430" s="218">
        <v>-9</v>
      </c>
      <c r="P430" s="218">
        <v>-10</v>
      </c>
      <c r="W430" s="219"/>
      <c r="X430" s="219"/>
      <c r="Y430" s="219"/>
      <c r="Z430" s="219"/>
      <c r="AC430" s="219"/>
    </row>
    <row r="431" spans="3:29" s="218" customFormat="1" hidden="1">
      <c r="C431" s="218" t="s">
        <v>97</v>
      </c>
      <c r="D431" s="218">
        <v>10</v>
      </c>
      <c r="E431" s="218">
        <v>9</v>
      </c>
      <c r="F431" s="218">
        <v>9</v>
      </c>
      <c r="G431" s="218">
        <v>8</v>
      </c>
      <c r="H431" s="218">
        <v>8</v>
      </c>
      <c r="I431" s="218">
        <v>7</v>
      </c>
      <c r="J431" s="218">
        <v>7</v>
      </c>
      <c r="K431" s="218">
        <v>6</v>
      </c>
      <c r="L431" s="218">
        <v>6</v>
      </c>
      <c r="M431" s="218">
        <v>5</v>
      </c>
      <c r="N431" s="218">
        <v>5</v>
      </c>
      <c r="O431" s="218">
        <v>4</v>
      </c>
      <c r="P431" s="218">
        <v>4</v>
      </c>
      <c r="W431" s="219"/>
      <c r="X431" s="219"/>
      <c r="Y431" s="219"/>
      <c r="Z431" s="219"/>
      <c r="AC431" s="219"/>
    </row>
    <row r="432" spans="3:29" s="218" customFormat="1" hidden="1">
      <c r="C432" s="218" t="s">
        <v>98</v>
      </c>
      <c r="D432" s="218">
        <v>54</v>
      </c>
      <c r="E432" s="218">
        <v>57</v>
      </c>
      <c r="F432" s="218">
        <v>63</v>
      </c>
      <c r="G432" s="218">
        <v>71</v>
      </c>
      <c r="H432" s="218">
        <v>73</v>
      </c>
      <c r="I432" s="218">
        <v>79</v>
      </c>
      <c r="J432" s="218">
        <v>81</v>
      </c>
      <c r="K432" s="218">
        <v>88</v>
      </c>
      <c r="L432" s="218">
        <v>96</v>
      </c>
      <c r="M432" s="218">
        <v>99</v>
      </c>
      <c r="N432" s="218">
        <v>106</v>
      </c>
      <c r="O432" s="218">
        <v>114</v>
      </c>
      <c r="P432" s="218">
        <v>122</v>
      </c>
      <c r="Q432" s="218">
        <v>131</v>
      </c>
      <c r="R432" s="218">
        <v>140</v>
      </c>
      <c r="S432" s="218">
        <v>148</v>
      </c>
      <c r="W432" s="219"/>
      <c r="X432" s="219"/>
      <c r="Y432" s="219"/>
      <c r="Z432" s="219"/>
      <c r="AC432" s="219"/>
    </row>
    <row r="433" spans="3:29" s="218" customFormat="1" hidden="1">
      <c r="C433" s="218" t="s">
        <v>99</v>
      </c>
      <c r="D433" s="218">
        <v>-3</v>
      </c>
      <c r="E433" s="218">
        <v>-4</v>
      </c>
      <c r="F433" s="218">
        <v>-5</v>
      </c>
      <c r="G433" s="218">
        <v>-5</v>
      </c>
      <c r="H433" s="218">
        <v>-6</v>
      </c>
      <c r="I433" s="218">
        <v>-6</v>
      </c>
      <c r="J433" s="218">
        <v>-7</v>
      </c>
      <c r="K433" s="218">
        <v>-8</v>
      </c>
      <c r="L433" s="218">
        <v>-8</v>
      </c>
      <c r="M433" s="218">
        <v>-9</v>
      </c>
      <c r="N433" s="218">
        <v>-10</v>
      </c>
      <c r="O433" s="218">
        <v>-11</v>
      </c>
      <c r="P433" s="218">
        <v>-12</v>
      </c>
      <c r="Q433" s="218">
        <v>-13</v>
      </c>
      <c r="R433" s="218">
        <v>-14</v>
      </c>
      <c r="S433" s="218">
        <v>-15</v>
      </c>
      <c r="W433" s="219"/>
      <c r="X433" s="219"/>
      <c r="Y433" s="219"/>
      <c r="Z433" s="219"/>
      <c r="AC433" s="219"/>
    </row>
    <row r="434" spans="3:29" s="218" customFormat="1" hidden="1">
      <c r="C434" s="218" t="s">
        <v>100</v>
      </c>
      <c r="D434" s="218">
        <v>14</v>
      </c>
      <c r="E434" s="218">
        <v>14</v>
      </c>
      <c r="F434" s="218">
        <v>13</v>
      </c>
      <c r="G434" s="218">
        <v>12</v>
      </c>
      <c r="H434" s="218">
        <v>12</v>
      </c>
      <c r="I434" s="218">
        <v>11</v>
      </c>
      <c r="J434" s="218">
        <v>11</v>
      </c>
      <c r="K434" s="218">
        <v>10</v>
      </c>
      <c r="L434" s="218">
        <v>9</v>
      </c>
      <c r="M434" s="218">
        <v>9</v>
      </c>
      <c r="N434" s="218">
        <v>8</v>
      </c>
      <c r="O434" s="218">
        <v>7</v>
      </c>
      <c r="P434" s="218">
        <v>6</v>
      </c>
      <c r="Q434" s="218">
        <v>5</v>
      </c>
      <c r="R434" s="218">
        <v>4</v>
      </c>
      <c r="S434" s="218">
        <v>3</v>
      </c>
      <c r="W434" s="219"/>
      <c r="X434" s="219"/>
      <c r="Y434" s="219"/>
      <c r="Z434" s="219"/>
      <c r="AC434" s="219"/>
    </row>
    <row r="435" spans="3:29" s="218" customFormat="1" hidden="1"/>
    <row r="436" spans="3:29" s="218" customFormat="1" hidden="1"/>
    <row r="437" spans="3:29" s="218" customFormat="1" hidden="1"/>
    <row r="438" spans="3:29" s="218" customFormat="1" hidden="1"/>
    <row r="439" spans="3:29" s="218" customFormat="1" hidden="1"/>
    <row r="440" spans="3:29" s="218" customFormat="1" hidden="1"/>
    <row r="441" spans="3:29" s="218" customFormat="1" hidden="1"/>
    <row r="442" spans="3:29" s="218" customFormat="1" hidden="1"/>
    <row r="443" spans="3:29" s="218" customFormat="1" hidden="1"/>
    <row r="444" spans="3:29" s="218" customFormat="1" hidden="1"/>
    <row r="445" spans="3:29" s="218" customFormat="1" hidden="1"/>
    <row r="446" spans="3:29" s="218" customFormat="1" hidden="1"/>
    <row r="447" spans="3:29" s="218" customFormat="1" hidden="1"/>
    <row r="448" spans="3:29" s="218" customFormat="1" hidden="1"/>
    <row r="449" spans="19:70" s="218" customFormat="1" hidden="1"/>
    <row r="450" spans="19:70" s="218" customFormat="1" hidden="1"/>
    <row r="451" spans="19:70" s="218" customFormat="1" hidden="1"/>
    <row r="452" spans="19:70" s="218" customFormat="1" hidden="1"/>
    <row r="453" spans="19:70" s="218" customFormat="1" hidden="1"/>
    <row r="454" spans="19:70" s="218" customFormat="1" hidden="1"/>
    <row r="455" spans="19:70" s="218" customFormat="1" hidden="1"/>
    <row r="456" spans="19:70" s="218" customFormat="1" hidden="1"/>
    <row r="457" spans="19:70" s="218" customFormat="1" hidden="1"/>
    <row r="458" spans="19:70" s="218" customFormat="1" hidden="1"/>
    <row r="459" spans="19:70" s="218" customFormat="1" hidden="1"/>
    <row r="460" spans="19:70" s="218" customFormat="1" hidden="1"/>
    <row r="461" spans="19:70" s="218" customFormat="1" hidden="1"/>
    <row r="462" spans="19:70" s="218" customFormat="1" hidden="1"/>
    <row r="463" spans="19:70" s="218" customFormat="1" hidden="1"/>
    <row r="464" spans="19:70" s="157" customFormat="1">
      <c r="S464" s="218"/>
      <c r="T464" s="218"/>
      <c r="U464" s="218"/>
      <c r="V464" s="218"/>
      <c r="W464" s="218"/>
      <c r="X464" s="218"/>
      <c r="Y464" s="218"/>
      <c r="Z464" s="218"/>
      <c r="AA464" s="218"/>
      <c r="AB464" s="218"/>
      <c r="AC464" s="218"/>
      <c r="AD464" s="218"/>
      <c r="AE464" s="218"/>
      <c r="AF464" s="218"/>
      <c r="AG464" s="218"/>
      <c r="AH464" s="218"/>
      <c r="AI464" s="218"/>
      <c r="AJ464" s="218"/>
      <c r="AK464" s="218"/>
      <c r="AL464" s="218"/>
      <c r="AM464" s="218"/>
      <c r="AN464" s="218"/>
      <c r="AO464" s="218"/>
      <c r="AP464" s="218"/>
      <c r="AQ464" s="218"/>
      <c r="AR464" s="218"/>
      <c r="AS464" s="218"/>
      <c r="AT464" s="218"/>
      <c r="AU464" s="218"/>
      <c r="AV464" s="218"/>
      <c r="AW464" s="218"/>
      <c r="AX464" s="218"/>
      <c r="AY464" s="218"/>
      <c r="AZ464" s="218"/>
      <c r="BA464" s="218"/>
      <c r="BB464" s="218"/>
      <c r="BC464" s="218"/>
      <c r="BD464" s="218"/>
      <c r="BE464" s="218"/>
      <c r="BF464" s="218"/>
      <c r="BG464" s="218"/>
      <c r="BH464" s="218"/>
      <c r="BI464" s="218"/>
      <c r="BJ464" s="218"/>
      <c r="BK464" s="218"/>
      <c r="BL464" s="218"/>
      <c r="BM464" s="218"/>
      <c r="BN464" s="218"/>
      <c r="BO464" s="218"/>
      <c r="BP464" s="218"/>
      <c r="BQ464" s="218"/>
      <c r="BR464" s="218"/>
    </row>
    <row r="465" spans="19:70" s="157" customFormat="1">
      <c r="S465" s="218"/>
      <c r="T465" s="218"/>
      <c r="U465" s="218"/>
      <c r="V465" s="218"/>
      <c r="W465" s="218"/>
      <c r="X465" s="218"/>
      <c r="Y465" s="218"/>
      <c r="Z465" s="218"/>
      <c r="AA465" s="218"/>
      <c r="AB465" s="218"/>
      <c r="AC465" s="218"/>
      <c r="AD465" s="218"/>
      <c r="AE465" s="218"/>
      <c r="AF465" s="218"/>
      <c r="AG465" s="218"/>
      <c r="AH465" s="218"/>
      <c r="AI465" s="218"/>
      <c r="AJ465" s="218"/>
      <c r="AK465" s="218"/>
      <c r="AL465" s="218"/>
      <c r="AM465" s="218"/>
      <c r="AN465" s="218"/>
      <c r="AO465" s="218"/>
      <c r="AP465" s="218"/>
      <c r="AQ465" s="218"/>
      <c r="AR465" s="218"/>
      <c r="AS465" s="218"/>
      <c r="AT465" s="218"/>
      <c r="AU465" s="218"/>
      <c r="AV465" s="218"/>
      <c r="AW465" s="218"/>
      <c r="AX465" s="218"/>
      <c r="AY465" s="218"/>
      <c r="AZ465" s="218"/>
      <c r="BA465" s="218"/>
      <c r="BB465" s="218"/>
      <c r="BC465" s="218"/>
      <c r="BD465" s="218"/>
      <c r="BE465" s="218"/>
      <c r="BF465" s="218"/>
      <c r="BG465" s="218"/>
      <c r="BH465" s="218"/>
      <c r="BI465" s="218"/>
      <c r="BJ465" s="218"/>
      <c r="BK465" s="218"/>
      <c r="BL465" s="218"/>
      <c r="BM465" s="218"/>
      <c r="BN465" s="218"/>
      <c r="BO465" s="218"/>
      <c r="BP465" s="218"/>
      <c r="BQ465" s="218"/>
      <c r="BR465" s="218"/>
    </row>
    <row r="466" spans="19:70" s="157" customFormat="1">
      <c r="S466" s="218"/>
      <c r="T466" s="218"/>
      <c r="U466" s="218"/>
      <c r="V466" s="218"/>
      <c r="W466" s="218"/>
      <c r="X466" s="218"/>
      <c r="Y466" s="218"/>
      <c r="Z466" s="218"/>
      <c r="AA466" s="218"/>
      <c r="AB466" s="218"/>
      <c r="AC466" s="218"/>
      <c r="AD466" s="218"/>
      <c r="AE466" s="218"/>
      <c r="AF466" s="218"/>
      <c r="AG466" s="218"/>
      <c r="AH466" s="218"/>
      <c r="AI466" s="218"/>
      <c r="AJ466" s="218"/>
      <c r="AK466" s="218"/>
      <c r="AL466" s="218"/>
      <c r="AM466" s="218"/>
      <c r="AN466" s="218"/>
      <c r="AO466" s="218"/>
      <c r="AP466" s="218"/>
      <c r="AQ466" s="218"/>
      <c r="AR466" s="218"/>
      <c r="AS466" s="218"/>
      <c r="AT466" s="218"/>
      <c r="AU466" s="218"/>
      <c r="AV466" s="218"/>
      <c r="AW466" s="218"/>
      <c r="AX466" s="218"/>
      <c r="AY466" s="218"/>
      <c r="AZ466" s="218"/>
      <c r="BA466" s="218"/>
      <c r="BB466" s="218"/>
      <c r="BC466" s="218"/>
      <c r="BD466" s="218"/>
      <c r="BE466" s="218"/>
      <c r="BF466" s="218"/>
      <c r="BG466" s="218"/>
      <c r="BH466" s="218"/>
      <c r="BI466" s="218"/>
      <c r="BJ466" s="218"/>
      <c r="BK466" s="218"/>
      <c r="BL466" s="218"/>
      <c r="BM466" s="218"/>
      <c r="BN466" s="218"/>
      <c r="BO466" s="218"/>
      <c r="BP466" s="218"/>
      <c r="BQ466" s="218"/>
      <c r="BR466" s="218"/>
    </row>
    <row r="467" spans="19:70" s="157" customFormat="1">
      <c r="S467" s="218"/>
      <c r="T467" s="218"/>
      <c r="U467" s="218"/>
      <c r="V467" s="218"/>
      <c r="W467" s="218"/>
      <c r="X467" s="218"/>
      <c r="Y467" s="218"/>
      <c r="Z467" s="218"/>
      <c r="AA467" s="218"/>
      <c r="AB467" s="218"/>
      <c r="AC467" s="218"/>
      <c r="AD467" s="218"/>
      <c r="AE467" s="218"/>
      <c r="AF467" s="218"/>
      <c r="AG467" s="218"/>
      <c r="AH467" s="218"/>
      <c r="AI467" s="218"/>
      <c r="AJ467" s="218"/>
      <c r="AK467" s="218"/>
      <c r="AL467" s="218"/>
      <c r="AM467" s="218"/>
      <c r="AN467" s="218"/>
      <c r="AO467" s="218"/>
      <c r="AP467" s="218"/>
      <c r="AQ467" s="218"/>
      <c r="AR467" s="218"/>
      <c r="AS467" s="218"/>
      <c r="AT467" s="218"/>
      <c r="AU467" s="218"/>
      <c r="AV467" s="218"/>
      <c r="AW467" s="218"/>
      <c r="AX467" s="218"/>
      <c r="AY467" s="218"/>
      <c r="AZ467" s="218"/>
      <c r="BA467" s="218"/>
      <c r="BB467" s="218"/>
      <c r="BC467" s="218"/>
      <c r="BD467" s="218"/>
      <c r="BE467" s="218"/>
      <c r="BF467" s="218"/>
      <c r="BG467" s="218"/>
      <c r="BH467" s="218"/>
      <c r="BI467" s="218"/>
      <c r="BJ467" s="218"/>
      <c r="BK467" s="218"/>
      <c r="BL467" s="218"/>
      <c r="BM467" s="218"/>
      <c r="BN467" s="218"/>
      <c r="BO467" s="218"/>
      <c r="BP467" s="218"/>
      <c r="BQ467" s="218"/>
      <c r="BR467" s="218"/>
    </row>
    <row r="468" spans="19:70" s="157" customFormat="1">
      <c r="S468" s="218"/>
      <c r="T468" s="218"/>
      <c r="U468" s="218"/>
      <c r="V468" s="218"/>
      <c r="W468" s="218"/>
      <c r="X468" s="218"/>
      <c r="Y468" s="218"/>
      <c r="Z468" s="218"/>
      <c r="AA468" s="218"/>
      <c r="AB468" s="218"/>
      <c r="AC468" s="218"/>
      <c r="AD468" s="218"/>
      <c r="AE468" s="218"/>
      <c r="AF468" s="218"/>
      <c r="AG468" s="218"/>
      <c r="AH468" s="218"/>
      <c r="AI468" s="218"/>
      <c r="AJ468" s="218"/>
      <c r="AK468" s="218"/>
      <c r="AL468" s="218"/>
      <c r="AM468" s="218"/>
      <c r="AN468" s="218"/>
      <c r="AO468" s="218"/>
      <c r="AP468" s="218"/>
      <c r="AQ468" s="218"/>
      <c r="AR468" s="218"/>
      <c r="AS468" s="218"/>
      <c r="AT468" s="218"/>
      <c r="AU468" s="218"/>
      <c r="AV468" s="218"/>
      <c r="AW468" s="218"/>
      <c r="AX468" s="218"/>
      <c r="AY468" s="218"/>
      <c r="AZ468" s="218"/>
      <c r="BA468" s="218"/>
      <c r="BB468" s="218"/>
      <c r="BC468" s="218"/>
      <c r="BD468" s="218"/>
      <c r="BE468" s="218"/>
      <c r="BF468" s="218"/>
      <c r="BG468" s="218"/>
      <c r="BH468" s="218"/>
      <c r="BI468" s="218"/>
      <c r="BJ468" s="218"/>
      <c r="BK468" s="218"/>
      <c r="BL468" s="218"/>
      <c r="BM468" s="218"/>
      <c r="BN468" s="218"/>
      <c r="BO468" s="218"/>
      <c r="BP468" s="218"/>
      <c r="BQ468" s="218"/>
      <c r="BR468" s="218"/>
    </row>
    <row r="469" spans="19:70" s="157" customFormat="1">
      <c r="S469" s="218"/>
      <c r="T469" s="218"/>
      <c r="U469" s="218"/>
      <c r="V469" s="218"/>
      <c r="W469" s="218"/>
      <c r="X469" s="218"/>
      <c r="Y469" s="218"/>
      <c r="Z469" s="218"/>
      <c r="AA469" s="218"/>
      <c r="AB469" s="218"/>
      <c r="AC469" s="218"/>
      <c r="AD469" s="218"/>
      <c r="AE469" s="218"/>
      <c r="AF469" s="218"/>
      <c r="AG469" s="218"/>
      <c r="AH469" s="218"/>
      <c r="AI469" s="218"/>
      <c r="AJ469" s="218"/>
      <c r="AK469" s="218"/>
      <c r="AL469" s="218"/>
      <c r="AM469" s="218"/>
      <c r="AN469" s="218"/>
      <c r="AO469" s="218"/>
      <c r="AP469" s="218"/>
      <c r="AQ469" s="218"/>
      <c r="AR469" s="218"/>
      <c r="AS469" s="218"/>
      <c r="AT469" s="218"/>
      <c r="AU469" s="218"/>
      <c r="AV469" s="218"/>
      <c r="AW469" s="218"/>
      <c r="AX469" s="218"/>
      <c r="AY469" s="218"/>
      <c r="AZ469" s="218"/>
      <c r="BA469" s="218"/>
      <c r="BB469" s="218"/>
      <c r="BC469" s="218"/>
      <c r="BD469" s="218"/>
      <c r="BE469" s="218"/>
      <c r="BF469" s="218"/>
      <c r="BG469" s="218"/>
      <c r="BH469" s="218"/>
      <c r="BI469" s="218"/>
      <c r="BJ469" s="218"/>
      <c r="BK469" s="218"/>
      <c r="BL469" s="218"/>
      <c r="BM469" s="218"/>
      <c r="BN469" s="218"/>
      <c r="BO469" s="218"/>
      <c r="BP469" s="218"/>
      <c r="BQ469" s="218"/>
      <c r="BR469" s="218"/>
    </row>
    <row r="470" spans="19:70" s="157" customFormat="1">
      <c r="S470" s="218"/>
      <c r="T470" s="218"/>
      <c r="U470" s="218"/>
      <c r="V470" s="218"/>
      <c r="W470" s="218"/>
      <c r="X470" s="218"/>
      <c r="Y470" s="218"/>
      <c r="Z470" s="218"/>
      <c r="AA470" s="218"/>
      <c r="AB470" s="218"/>
      <c r="AC470" s="218"/>
      <c r="AD470" s="218"/>
      <c r="AE470" s="218"/>
      <c r="AF470" s="218"/>
      <c r="AG470" s="218"/>
      <c r="AH470" s="218"/>
      <c r="AI470" s="218"/>
      <c r="AJ470" s="218"/>
      <c r="AK470" s="218"/>
      <c r="AL470" s="218"/>
      <c r="AM470" s="218"/>
      <c r="AN470" s="218"/>
      <c r="AO470" s="218"/>
      <c r="AP470" s="218"/>
      <c r="AQ470" s="218"/>
      <c r="AR470" s="218"/>
      <c r="AS470" s="218"/>
      <c r="AT470" s="218"/>
      <c r="AU470" s="218"/>
      <c r="AV470" s="218"/>
      <c r="AW470" s="218"/>
      <c r="AX470" s="218"/>
      <c r="AY470" s="218"/>
      <c r="AZ470" s="218"/>
      <c r="BA470" s="218"/>
      <c r="BB470" s="218"/>
      <c r="BC470" s="218"/>
      <c r="BD470" s="218"/>
      <c r="BE470" s="218"/>
      <c r="BF470" s="218"/>
      <c r="BG470" s="218"/>
      <c r="BH470" s="218"/>
      <c r="BI470" s="218"/>
      <c r="BJ470" s="218"/>
      <c r="BK470" s="218"/>
      <c r="BL470" s="218"/>
      <c r="BM470" s="218"/>
      <c r="BN470" s="218"/>
      <c r="BO470" s="218"/>
      <c r="BP470" s="218"/>
      <c r="BQ470" s="218"/>
      <c r="BR470" s="218"/>
    </row>
    <row r="471" spans="19:70" s="157" customFormat="1">
      <c r="S471" s="218"/>
      <c r="T471" s="218"/>
      <c r="U471" s="218"/>
      <c r="V471" s="218"/>
      <c r="W471" s="218"/>
      <c r="X471" s="218"/>
      <c r="Y471" s="218"/>
      <c r="Z471" s="218"/>
      <c r="AA471" s="218"/>
      <c r="AB471" s="218"/>
      <c r="AC471" s="218"/>
      <c r="AD471" s="218"/>
      <c r="AE471" s="218"/>
      <c r="AF471" s="218"/>
      <c r="AG471" s="218"/>
      <c r="AH471" s="218"/>
      <c r="AI471" s="218"/>
      <c r="AJ471" s="218"/>
      <c r="AK471" s="218"/>
      <c r="AL471" s="218"/>
      <c r="AM471" s="218"/>
      <c r="AN471" s="218"/>
      <c r="AO471" s="218"/>
      <c r="AP471" s="218"/>
      <c r="AQ471" s="218"/>
      <c r="AR471" s="218"/>
      <c r="AS471" s="218"/>
      <c r="AT471" s="218"/>
      <c r="AU471" s="218"/>
      <c r="AV471" s="218"/>
      <c r="AW471" s="218"/>
      <c r="AX471" s="218"/>
      <c r="AY471" s="218"/>
      <c r="AZ471" s="218"/>
      <c r="BA471" s="218"/>
      <c r="BB471" s="218"/>
      <c r="BC471" s="218"/>
      <c r="BD471" s="218"/>
      <c r="BE471" s="218"/>
      <c r="BF471" s="218"/>
      <c r="BG471" s="218"/>
      <c r="BH471" s="218"/>
      <c r="BI471" s="218"/>
      <c r="BJ471" s="218"/>
      <c r="BK471" s="218"/>
      <c r="BL471" s="218"/>
      <c r="BM471" s="218"/>
      <c r="BN471" s="218"/>
      <c r="BO471" s="218"/>
      <c r="BP471" s="218"/>
      <c r="BQ471" s="218"/>
      <c r="BR471" s="218"/>
    </row>
    <row r="472" spans="19:70" s="157" customFormat="1">
      <c r="S472" s="218"/>
      <c r="T472" s="218"/>
      <c r="U472" s="218"/>
      <c r="V472" s="218"/>
      <c r="W472" s="218"/>
      <c r="X472" s="218"/>
      <c r="Y472" s="218"/>
      <c r="Z472" s="218"/>
      <c r="AA472" s="218"/>
      <c r="AB472" s="218"/>
      <c r="AC472" s="218"/>
      <c r="AD472" s="218"/>
      <c r="AE472" s="218"/>
      <c r="AF472" s="218"/>
      <c r="AG472" s="218"/>
      <c r="AH472" s="218"/>
      <c r="AI472" s="218"/>
      <c r="AJ472" s="218"/>
      <c r="AK472" s="218"/>
      <c r="AL472" s="218"/>
      <c r="AM472" s="218"/>
      <c r="AN472" s="218"/>
      <c r="AO472" s="218"/>
      <c r="AP472" s="218"/>
      <c r="AQ472" s="218"/>
      <c r="AR472" s="218"/>
      <c r="AS472" s="218"/>
      <c r="AT472" s="218"/>
      <c r="AU472" s="218"/>
      <c r="AV472" s="218"/>
      <c r="AW472" s="218"/>
      <c r="AX472" s="218"/>
      <c r="AY472" s="218"/>
      <c r="AZ472" s="218"/>
      <c r="BA472" s="218"/>
      <c r="BB472" s="218"/>
      <c r="BC472" s="218"/>
      <c r="BD472" s="218"/>
      <c r="BE472" s="218"/>
      <c r="BF472" s="218"/>
      <c r="BG472" s="218"/>
      <c r="BH472" s="218"/>
      <c r="BI472" s="218"/>
      <c r="BJ472" s="218"/>
      <c r="BK472" s="218"/>
      <c r="BL472" s="218"/>
      <c r="BM472" s="218"/>
      <c r="BN472" s="218"/>
      <c r="BO472" s="218"/>
      <c r="BP472" s="218"/>
      <c r="BQ472" s="218"/>
      <c r="BR472" s="218"/>
    </row>
    <row r="473" spans="19:70" s="157" customFormat="1">
      <c r="S473" s="218"/>
      <c r="T473" s="218"/>
      <c r="U473" s="218"/>
      <c r="V473" s="218"/>
      <c r="W473" s="218"/>
      <c r="X473" s="218"/>
      <c r="Y473" s="218"/>
      <c r="Z473" s="218"/>
      <c r="AA473" s="218"/>
      <c r="AB473" s="218"/>
      <c r="AC473" s="218"/>
      <c r="AD473" s="218"/>
      <c r="AE473" s="218"/>
      <c r="AF473" s="218"/>
      <c r="AG473" s="218"/>
      <c r="AH473" s="218"/>
      <c r="AI473" s="218"/>
      <c r="AJ473" s="218"/>
      <c r="AK473" s="218"/>
      <c r="AL473" s="218"/>
      <c r="AM473" s="218"/>
      <c r="AN473" s="218"/>
      <c r="AO473" s="218"/>
      <c r="AP473" s="218"/>
      <c r="AQ473" s="218"/>
      <c r="AR473" s="218"/>
      <c r="AS473" s="218"/>
      <c r="AT473" s="218"/>
      <c r="AU473" s="218"/>
      <c r="AV473" s="218"/>
      <c r="AW473" s="218"/>
      <c r="AX473" s="218"/>
      <c r="AY473" s="218"/>
      <c r="AZ473" s="218"/>
      <c r="BA473" s="218"/>
      <c r="BB473" s="218"/>
      <c r="BC473" s="218"/>
      <c r="BD473" s="218"/>
      <c r="BE473" s="218"/>
      <c r="BF473" s="218"/>
      <c r="BG473" s="218"/>
      <c r="BH473" s="218"/>
      <c r="BI473" s="218"/>
      <c r="BJ473" s="218"/>
      <c r="BK473" s="218"/>
      <c r="BL473" s="218"/>
      <c r="BM473" s="218"/>
      <c r="BN473" s="218"/>
      <c r="BO473" s="218"/>
      <c r="BP473" s="218"/>
      <c r="BQ473" s="218"/>
      <c r="BR473" s="218"/>
    </row>
    <row r="474" spans="19:70" s="157" customFormat="1">
      <c r="S474" s="218"/>
      <c r="T474" s="218"/>
      <c r="U474" s="218"/>
      <c r="V474" s="218"/>
      <c r="W474" s="218"/>
      <c r="X474" s="218"/>
      <c r="Y474" s="218"/>
      <c r="Z474" s="218"/>
      <c r="AA474" s="218"/>
      <c r="AB474" s="218"/>
      <c r="AC474" s="218"/>
      <c r="AD474" s="218"/>
      <c r="AE474" s="218"/>
      <c r="AF474" s="218"/>
      <c r="AG474" s="218"/>
      <c r="AH474" s="218"/>
      <c r="AI474" s="218"/>
      <c r="AJ474" s="218"/>
      <c r="AK474" s="218"/>
      <c r="AL474" s="218"/>
      <c r="AM474" s="218"/>
      <c r="AN474" s="218"/>
      <c r="AO474" s="218"/>
      <c r="AP474" s="218"/>
      <c r="AQ474" s="218"/>
      <c r="AR474" s="218"/>
      <c r="AS474" s="218"/>
      <c r="AT474" s="218"/>
      <c r="AU474" s="218"/>
      <c r="AV474" s="218"/>
      <c r="AW474" s="218"/>
      <c r="AX474" s="218"/>
      <c r="AY474" s="218"/>
      <c r="AZ474" s="218"/>
      <c r="BA474" s="218"/>
      <c r="BB474" s="218"/>
      <c r="BC474" s="218"/>
      <c r="BD474" s="218"/>
      <c r="BE474" s="218"/>
      <c r="BF474" s="218"/>
      <c r="BG474" s="218"/>
      <c r="BH474" s="218"/>
      <c r="BI474" s="218"/>
      <c r="BJ474" s="218"/>
      <c r="BK474" s="218"/>
      <c r="BL474" s="218"/>
      <c r="BM474" s="218"/>
      <c r="BN474" s="218"/>
      <c r="BO474" s="218"/>
      <c r="BP474" s="218"/>
      <c r="BQ474" s="218"/>
      <c r="BR474" s="218"/>
    </row>
    <row r="475" spans="19:70" s="157" customFormat="1">
      <c r="S475" s="218"/>
      <c r="T475" s="218"/>
      <c r="U475" s="218"/>
      <c r="V475" s="218"/>
      <c r="W475" s="218"/>
      <c r="X475" s="218"/>
      <c r="Y475" s="218"/>
      <c r="Z475" s="218"/>
      <c r="AA475" s="218"/>
      <c r="AB475" s="218"/>
      <c r="AC475" s="218"/>
      <c r="AD475" s="218"/>
      <c r="AE475" s="218"/>
      <c r="AF475" s="218"/>
      <c r="AG475" s="218"/>
      <c r="AH475" s="218"/>
      <c r="AI475" s="218"/>
      <c r="AJ475" s="218"/>
      <c r="AK475" s="218"/>
      <c r="AL475" s="218"/>
      <c r="AM475" s="218"/>
      <c r="AN475" s="218"/>
      <c r="AO475" s="218"/>
      <c r="AP475" s="218"/>
      <c r="AQ475" s="218"/>
      <c r="AR475" s="218"/>
      <c r="AS475" s="218"/>
      <c r="AT475" s="218"/>
      <c r="AU475" s="218"/>
      <c r="AV475" s="218"/>
      <c r="AW475" s="218"/>
      <c r="AX475" s="218"/>
      <c r="AY475" s="218"/>
      <c r="AZ475" s="218"/>
      <c r="BA475" s="218"/>
      <c r="BB475" s="218"/>
      <c r="BC475" s="218"/>
      <c r="BD475" s="218"/>
      <c r="BE475" s="218"/>
      <c r="BF475" s="218"/>
      <c r="BG475" s="218"/>
      <c r="BH475" s="218"/>
      <c r="BI475" s="218"/>
      <c r="BJ475" s="218"/>
      <c r="BK475" s="218"/>
      <c r="BL475" s="218"/>
      <c r="BM475" s="218"/>
      <c r="BN475" s="218"/>
      <c r="BO475" s="218"/>
      <c r="BP475" s="218"/>
      <c r="BQ475" s="218"/>
      <c r="BR475" s="218"/>
    </row>
    <row r="476" spans="19:70" s="157" customFormat="1">
      <c r="S476" s="218"/>
      <c r="T476" s="218"/>
      <c r="U476" s="218"/>
      <c r="V476" s="218"/>
      <c r="W476" s="218"/>
      <c r="X476" s="218"/>
      <c r="Y476" s="218"/>
      <c r="Z476" s="218"/>
      <c r="AA476" s="218"/>
      <c r="AB476" s="218"/>
      <c r="AC476" s="218"/>
      <c r="AD476" s="218"/>
      <c r="AE476" s="218"/>
      <c r="AF476" s="218"/>
      <c r="AG476" s="218"/>
      <c r="AH476" s="218"/>
      <c r="AI476" s="218"/>
      <c r="AJ476" s="218"/>
      <c r="AK476" s="218"/>
      <c r="AL476" s="218"/>
      <c r="AM476" s="218"/>
      <c r="AN476" s="218"/>
      <c r="AO476" s="218"/>
      <c r="AP476" s="218"/>
      <c r="AQ476" s="218"/>
      <c r="AR476" s="218"/>
      <c r="AS476" s="218"/>
      <c r="AT476" s="218"/>
      <c r="AU476" s="218"/>
      <c r="AV476" s="218"/>
      <c r="AW476" s="218"/>
      <c r="AX476" s="218"/>
      <c r="AY476" s="218"/>
      <c r="AZ476" s="218"/>
      <c r="BA476" s="218"/>
      <c r="BB476" s="218"/>
      <c r="BC476" s="218"/>
      <c r="BD476" s="218"/>
      <c r="BE476" s="218"/>
      <c r="BF476" s="218"/>
      <c r="BG476" s="218"/>
      <c r="BH476" s="218"/>
      <c r="BI476" s="218"/>
      <c r="BJ476" s="218"/>
      <c r="BK476" s="218"/>
      <c r="BL476" s="218"/>
      <c r="BM476" s="218"/>
      <c r="BN476" s="218"/>
      <c r="BO476" s="218"/>
      <c r="BP476" s="218"/>
      <c r="BQ476" s="218"/>
      <c r="BR476" s="218"/>
    </row>
    <row r="477" spans="19:70" s="157" customFormat="1">
      <c r="S477" s="218"/>
      <c r="T477" s="218"/>
      <c r="U477" s="218"/>
      <c r="V477" s="218"/>
      <c r="W477" s="218"/>
      <c r="X477" s="218"/>
      <c r="Y477" s="218"/>
      <c r="Z477" s="218"/>
      <c r="AA477" s="218"/>
      <c r="AB477" s="218"/>
      <c r="AC477" s="218"/>
      <c r="AD477" s="218"/>
      <c r="AE477" s="218"/>
      <c r="AF477" s="218"/>
      <c r="AG477" s="218"/>
      <c r="AH477" s="218"/>
      <c r="AI477" s="218"/>
      <c r="AJ477" s="218"/>
      <c r="AK477" s="218"/>
      <c r="AL477" s="218"/>
      <c r="AM477" s="218"/>
      <c r="AN477" s="218"/>
      <c r="AO477" s="218"/>
      <c r="AP477" s="218"/>
      <c r="AQ477" s="218"/>
      <c r="AR477" s="218"/>
      <c r="AS477" s="218"/>
      <c r="AT477" s="218"/>
      <c r="AU477" s="218"/>
      <c r="AV477" s="218"/>
      <c r="AW477" s="218"/>
      <c r="AX477" s="218"/>
      <c r="AY477" s="218"/>
      <c r="AZ477" s="218"/>
      <c r="BA477" s="218"/>
      <c r="BB477" s="218"/>
      <c r="BC477" s="218"/>
      <c r="BD477" s="218"/>
      <c r="BE477" s="218"/>
      <c r="BF477" s="218"/>
      <c r="BG477" s="218"/>
      <c r="BH477" s="218"/>
      <c r="BI477" s="218"/>
      <c r="BJ477" s="218"/>
      <c r="BK477" s="218"/>
      <c r="BL477" s="218"/>
      <c r="BM477" s="218"/>
      <c r="BN477" s="218"/>
      <c r="BO477" s="218"/>
      <c r="BP477" s="218"/>
      <c r="BQ477" s="218"/>
      <c r="BR477" s="218"/>
    </row>
    <row r="478" spans="19:70" s="157" customFormat="1">
      <c r="S478" s="218"/>
      <c r="T478" s="218"/>
      <c r="U478" s="218"/>
      <c r="V478" s="218"/>
      <c r="W478" s="218"/>
      <c r="X478" s="218"/>
      <c r="Y478" s="218"/>
      <c r="Z478" s="218"/>
      <c r="AA478" s="218"/>
      <c r="AB478" s="218"/>
      <c r="AC478" s="218"/>
      <c r="AD478" s="218"/>
      <c r="AE478" s="218"/>
      <c r="AF478" s="218"/>
      <c r="AG478" s="218"/>
      <c r="AH478" s="218"/>
      <c r="AI478" s="218"/>
      <c r="AJ478" s="218"/>
      <c r="AK478" s="218"/>
      <c r="AL478" s="218"/>
      <c r="AM478" s="218"/>
      <c r="AN478" s="218"/>
      <c r="AO478" s="218"/>
      <c r="AP478" s="218"/>
      <c r="AQ478" s="218"/>
      <c r="AR478" s="218"/>
      <c r="AS478" s="218"/>
      <c r="AT478" s="218"/>
      <c r="AU478" s="218"/>
      <c r="AV478" s="218"/>
      <c r="AW478" s="218"/>
      <c r="AX478" s="218"/>
      <c r="AY478" s="218"/>
      <c r="AZ478" s="218"/>
      <c r="BA478" s="218"/>
      <c r="BB478" s="218"/>
      <c r="BC478" s="218"/>
      <c r="BD478" s="218"/>
      <c r="BE478" s="218"/>
      <c r="BF478" s="218"/>
      <c r="BG478" s="218"/>
      <c r="BH478" s="218"/>
      <c r="BI478" s="218"/>
      <c r="BJ478" s="218"/>
      <c r="BK478" s="218"/>
      <c r="BL478" s="218"/>
      <c r="BM478" s="218"/>
      <c r="BN478" s="218"/>
      <c r="BO478" s="218"/>
      <c r="BP478" s="218"/>
      <c r="BQ478" s="218"/>
      <c r="BR478" s="218"/>
    </row>
  </sheetData>
  <sheetProtection password="8D61" sheet="1" objects="1" scenarios="1" selectLockedCells="1"/>
  <mergeCells count="164">
    <mergeCell ref="P245:Q246"/>
    <mergeCell ref="B30:C37"/>
    <mergeCell ref="M94:P94"/>
    <mergeCell ref="B39:Q39"/>
    <mergeCell ref="B53:Q53"/>
    <mergeCell ref="B64:Q64"/>
    <mergeCell ref="M92:P93"/>
    <mergeCell ref="D93:H93"/>
    <mergeCell ref="I93:J93"/>
    <mergeCell ref="D107:P107"/>
    <mergeCell ref="D78:H78"/>
    <mergeCell ref="K78:L78"/>
    <mergeCell ref="M81:P82"/>
    <mergeCell ref="D82:H82"/>
    <mergeCell ref="K82:L82"/>
    <mergeCell ref="I82:J82"/>
    <mergeCell ref="I78:J78"/>
    <mergeCell ref="M78:P78"/>
    <mergeCell ref="M76:P77"/>
    <mergeCell ref="D77:H77"/>
    <mergeCell ref="K77:L77"/>
    <mergeCell ref="I77:J77"/>
    <mergeCell ref="D70:P71"/>
    <mergeCell ref="C67:D67"/>
    <mergeCell ref="F67:K67"/>
    <mergeCell ref="L67:P67"/>
    <mergeCell ref="A1:R1"/>
    <mergeCell ref="A2:R2"/>
    <mergeCell ref="A3:R3"/>
    <mergeCell ref="D35:F35"/>
    <mergeCell ref="D34:F34"/>
    <mergeCell ref="H5:I5"/>
    <mergeCell ref="H6:I6"/>
    <mergeCell ref="N5:O5"/>
    <mergeCell ref="N12:R13"/>
    <mergeCell ref="B12:C26"/>
    <mergeCell ref="N8:R11"/>
    <mergeCell ref="D60:P61"/>
    <mergeCell ref="F57:G57"/>
    <mergeCell ref="H57:I57"/>
    <mergeCell ref="J57:K57"/>
    <mergeCell ref="L57:P57"/>
    <mergeCell ref="N16:R17"/>
    <mergeCell ref="N18:R19"/>
    <mergeCell ref="H172:K172"/>
    <mergeCell ref="B156:Q156"/>
    <mergeCell ref="F55:K55"/>
    <mergeCell ref="A38:R38"/>
    <mergeCell ref="F56:G56"/>
    <mergeCell ref="H56:I56"/>
    <mergeCell ref="L55:P56"/>
    <mergeCell ref="B110:Q110"/>
    <mergeCell ref="N43:Q44"/>
    <mergeCell ref="L66:P66"/>
    <mergeCell ref="B136:Q136"/>
    <mergeCell ref="B117:C121"/>
    <mergeCell ref="N25:R26"/>
    <mergeCell ref="N23:R24"/>
    <mergeCell ref="N14:R15"/>
    <mergeCell ref="N21:R22"/>
    <mergeCell ref="J56:K56"/>
    <mergeCell ref="D37:F37"/>
    <mergeCell ref="D36:F36"/>
    <mergeCell ref="B74:Q74"/>
    <mergeCell ref="P169:Q170"/>
    <mergeCell ref="D169:K169"/>
    <mergeCell ref="I103:J103"/>
    <mergeCell ref="D83:H83"/>
    <mergeCell ref="C66:D66"/>
    <mergeCell ref="B168:Q168"/>
    <mergeCell ref="M104:P104"/>
    <mergeCell ref="M102:P103"/>
    <mergeCell ref="D103:H103"/>
    <mergeCell ref="K103:L103"/>
    <mergeCell ref="K83:L83"/>
    <mergeCell ref="I83:J83"/>
    <mergeCell ref="B100:Q100"/>
    <mergeCell ref="M83:P83"/>
    <mergeCell ref="K93:L93"/>
    <mergeCell ref="D104:H104"/>
    <mergeCell ref="K104:L104"/>
    <mergeCell ref="I104:J104"/>
    <mergeCell ref="B123:C127"/>
    <mergeCell ref="N175:O175"/>
    <mergeCell ref="P175:Q175"/>
    <mergeCell ref="B166:Q166"/>
    <mergeCell ref="H175:K175"/>
    <mergeCell ref="N172:O172"/>
    <mergeCell ref="P172:Q172"/>
    <mergeCell ref="F170:G170"/>
    <mergeCell ref="H170:J170"/>
    <mergeCell ref="N169:O170"/>
    <mergeCell ref="D86:P87"/>
    <mergeCell ref="H173:J173"/>
    <mergeCell ref="D94:H94"/>
    <mergeCell ref="I94:J94"/>
    <mergeCell ref="K94:L94"/>
    <mergeCell ref="D97:P97"/>
    <mergeCell ref="B90:Q90"/>
    <mergeCell ref="B128:C130"/>
    <mergeCell ref="B132:C134"/>
    <mergeCell ref="H115:L115"/>
    <mergeCell ref="H200:J200"/>
    <mergeCell ref="N115:Q115"/>
    <mergeCell ref="H191:J191"/>
    <mergeCell ref="H195:K195"/>
    <mergeCell ref="H202:K202"/>
    <mergeCell ref="H176:J176"/>
    <mergeCell ref="N189:O189"/>
    <mergeCell ref="P189:Q189"/>
    <mergeCell ref="N178:O178"/>
    <mergeCell ref="P178:Q178"/>
    <mergeCell ref="N180:O180"/>
    <mergeCell ref="P180:Q180"/>
    <mergeCell ref="H178:J178"/>
    <mergeCell ref="H184:J184"/>
    <mergeCell ref="H180:K180"/>
    <mergeCell ref="N184:O184"/>
    <mergeCell ref="H181:J181"/>
    <mergeCell ref="H185:J185"/>
    <mergeCell ref="H186:J186"/>
    <mergeCell ref="H187:J187"/>
    <mergeCell ref="N193:O193"/>
    <mergeCell ref="N191:O191"/>
    <mergeCell ref="P184:Q184"/>
    <mergeCell ref="N186:O186"/>
    <mergeCell ref="P186:Q186"/>
    <mergeCell ref="H192:J192"/>
    <mergeCell ref="H189:J189"/>
    <mergeCell ref="H209:J209"/>
    <mergeCell ref="H213:J213"/>
    <mergeCell ref="N213:O213"/>
    <mergeCell ref="P213:Q213"/>
    <mergeCell ref="P193:Q193"/>
    <mergeCell ref="N202:O202"/>
    <mergeCell ref="P202:Q202"/>
    <mergeCell ref="N195:O195"/>
    <mergeCell ref="P195:Q195"/>
    <mergeCell ref="N200:O200"/>
    <mergeCell ref="N208:O208"/>
    <mergeCell ref="P208:Q208"/>
    <mergeCell ref="N205:O205"/>
    <mergeCell ref="P205:Q205"/>
    <mergeCell ref="H205:J205"/>
    <mergeCell ref="P191:Q191"/>
    <mergeCell ref="H208:J208"/>
    <mergeCell ref="P200:Q200"/>
    <mergeCell ref="H203:J203"/>
    <mergeCell ref="H196:J196"/>
    <mergeCell ref="D231:F231"/>
    <mergeCell ref="H222:Q223"/>
    <mergeCell ref="P211:Q211"/>
    <mergeCell ref="N211:O211"/>
    <mergeCell ref="H231:O231"/>
    <mergeCell ref="B227:Q227"/>
    <mergeCell ref="B225:Q225"/>
    <mergeCell ref="D215:Q217"/>
    <mergeCell ref="P241:Q243"/>
    <mergeCell ref="D232:F232"/>
    <mergeCell ref="I232:N232"/>
    <mergeCell ref="P236:Q237"/>
    <mergeCell ref="D239:F239"/>
    <mergeCell ref="H239:O239"/>
    <mergeCell ref="P233:Q235"/>
  </mergeCells>
  <phoneticPr fontId="4" type="noConversion"/>
  <dataValidations count="4">
    <dataValidation type="whole" allowBlank="1" showInputMessage="1" showErrorMessage="1" errorTitle="LDB Error" error="The LDB score must be between 0 and 8" sqref="G36:G37">
      <formula1>0</formula1>
      <formula2>8</formula2>
    </dataValidation>
    <dataValidation type="whole" allowBlank="1" showInputMessage="1" showErrorMessage="1" errorTitle="Scaled Score Error" error="Scaled Scores must be between 1 and 19" sqref="F12:F26">
      <formula1>1</formula1>
      <formula2>19</formula2>
    </dataValidation>
    <dataValidation type="whole" allowBlank="1" showInputMessage="1" showErrorMessage="1" errorTitle="LDF Error" error="The LDF score must be between 0 and 9" sqref="G35">
      <formula1>0</formula1>
      <formula2>9</formula2>
    </dataValidation>
    <dataValidation type="whole" allowBlank="1" showInputMessage="1" showErrorMessage="1" errorTitle="Scaled Score Error" error="Scaled scores must be between 1 and 19" sqref="F30:F33 G34">
      <formula1>1</formula1>
      <formula2>19</formula2>
    </dataValidation>
  </dataValidations>
  <printOptions horizontalCentered="1" verticalCentered="1"/>
  <pageMargins left="0" right="0" top="1" bottom="1" header="0.5" footer="0.5"/>
  <pageSetup scale="97" fitToHeight="8" orientation="portrait" horizontalDpi="360" verticalDpi="300" r:id="rId1"/>
  <headerFooter alignWithMargins="0">
    <oddHeader>&amp;C&amp;18DUMONT - WILLIS WAIS-IV Computer Template</oddHeader>
    <oddFooter>&amp;L&amp;8WAIS-IV © The Psychological Corporation All rights reserved &amp;R&amp;8Page &amp;P  WAIS-IV Template © Dumont - Willis 2008</oddFooter>
  </headerFooter>
  <rowBreaks count="3" manualBreakCount="3">
    <brk id="37" max="16383" man="1"/>
    <brk id="99" max="16383" man="1"/>
    <brk id="219" max="16383" man="1"/>
  </rowBreaks>
  <legacyDrawing r:id="rId2"/>
</worksheet>
</file>

<file path=xl/worksheets/sheet3.xml><?xml version="1.0" encoding="utf-8"?>
<worksheet xmlns="http://schemas.openxmlformats.org/spreadsheetml/2006/main" xmlns:r="http://schemas.openxmlformats.org/officeDocument/2006/relationships">
  <sheetPr codeName="Sheet3" enableFormatConditionsCalculation="0">
    <tabColor indexed="26"/>
  </sheetPr>
  <dimension ref="B1:R42"/>
  <sheetViews>
    <sheetView showGridLines="0" zoomScale="110" zoomScaleNormal="110" workbookViewId="0">
      <selection activeCell="O2" sqref="O2"/>
    </sheetView>
  </sheetViews>
  <sheetFormatPr defaultRowHeight="12"/>
  <cols>
    <col min="1" max="1" width="1.5703125" style="44" customWidth="1"/>
    <col min="2" max="2" width="26.5703125" style="44" customWidth="1"/>
    <col min="3" max="3" width="1.42578125" style="44" customWidth="1"/>
    <col min="4" max="10" width="4.85546875" style="44" customWidth="1"/>
    <col min="11" max="11" width="5.5703125" style="44" customWidth="1"/>
    <col min="12" max="18" width="4.85546875" style="44" customWidth="1"/>
    <col min="19" max="16384" width="9.140625" style="44"/>
  </cols>
  <sheetData>
    <row r="1" spans="2:18" ht="6" customHeight="1"/>
    <row r="2" spans="2:18">
      <c r="B2" s="173" t="s">
        <v>234</v>
      </c>
      <c r="C2" s="173"/>
      <c r="D2" s="173"/>
      <c r="E2" s="173"/>
      <c r="F2" s="173"/>
      <c r="G2" s="173"/>
      <c r="H2" s="173"/>
      <c r="I2" s="173"/>
      <c r="J2" s="173"/>
      <c r="K2" s="176"/>
      <c r="L2" s="173"/>
      <c r="M2" s="174"/>
      <c r="N2" s="176"/>
      <c r="O2" s="91"/>
      <c r="P2" s="2"/>
    </row>
    <row r="3" spans="2:18" ht="4.5" customHeight="1">
      <c r="B3" s="2"/>
      <c r="C3" s="2"/>
      <c r="D3" s="2"/>
      <c r="E3" s="206"/>
      <c r="F3" s="2"/>
      <c r="G3" s="206"/>
      <c r="H3" s="206"/>
      <c r="I3" s="2"/>
      <c r="J3" s="2"/>
      <c r="L3" s="2"/>
      <c r="M3" s="206"/>
      <c r="N3" s="206"/>
      <c r="O3" s="206"/>
      <c r="P3" s="2"/>
      <c r="Q3" s="2"/>
      <c r="R3" s="4"/>
    </row>
    <row r="4" spans="2:18" ht="19.5" customHeight="1">
      <c r="B4" s="2"/>
      <c r="C4" s="2"/>
      <c r="D4" s="416" t="s">
        <v>14</v>
      </c>
      <c r="E4" s="416"/>
      <c r="F4" s="416"/>
      <c r="G4" s="416"/>
      <c r="H4" s="416" t="s">
        <v>151</v>
      </c>
      <c r="I4" s="416"/>
      <c r="J4" s="416"/>
      <c r="K4" s="416"/>
      <c r="L4" s="416"/>
      <c r="M4" s="416" t="s">
        <v>153</v>
      </c>
      <c r="N4" s="416"/>
      <c r="O4" s="416"/>
      <c r="P4" s="416" t="s">
        <v>28</v>
      </c>
      <c r="Q4" s="416"/>
      <c r="R4" s="416"/>
    </row>
    <row r="5" spans="2:18">
      <c r="B5" s="2"/>
      <c r="C5" s="2"/>
      <c r="D5" s="209" t="s">
        <v>31</v>
      </c>
      <c r="E5" s="87" t="s">
        <v>29</v>
      </c>
      <c r="F5" s="209" t="s">
        <v>192</v>
      </c>
      <c r="G5" s="87" t="s">
        <v>33</v>
      </c>
      <c r="H5" s="87" t="s">
        <v>195</v>
      </c>
      <c r="I5" s="209" t="s">
        <v>196</v>
      </c>
      <c r="J5" s="209" t="s">
        <v>297</v>
      </c>
      <c r="K5" s="175" t="s">
        <v>376</v>
      </c>
      <c r="L5" s="87" t="s">
        <v>230</v>
      </c>
      <c r="M5" s="87" t="s">
        <v>51</v>
      </c>
      <c r="N5" s="87" t="s">
        <v>30</v>
      </c>
      <c r="O5" s="87" t="s">
        <v>193</v>
      </c>
      <c r="P5" s="87" t="s">
        <v>32</v>
      </c>
      <c r="Q5" s="87" t="s">
        <v>194</v>
      </c>
      <c r="R5" s="87" t="s">
        <v>377</v>
      </c>
    </row>
    <row r="6" spans="2:18">
      <c r="B6" s="2"/>
      <c r="C6" s="4" t="s">
        <v>197</v>
      </c>
      <c r="D6" s="88">
        <f ca="1">IF(O2="F",'WAIS-IV'!P117,'WAIS-IV'!K117)</f>
        <v>3.25</v>
      </c>
      <c r="E6" s="88">
        <f ca="1">IF(O2="F",'WAIS-IV'!P118,'WAIS-IV'!K118)</f>
        <v>-1.75</v>
      </c>
      <c r="F6" s="88">
        <f ca="1">IF(O2="F",'WAIS-IV'!P119,'WAIS-IV'!K119)</f>
        <v>-0.75</v>
      </c>
      <c r="G6" s="88">
        <f ca="1">IF(O2="F",'WAIS-IV'!P120,'WAIS-IV'!K120)</f>
        <v>-0.75</v>
      </c>
      <c r="H6" s="88">
        <f ca="1">IF(O2="F",'WAIS-IV'!P122,'WAIS-IV'!K122)</f>
        <v>-2.1999999999999993</v>
      </c>
      <c r="I6" s="88">
        <f ca="1">IF(O2="F",'WAIS-IV'!P123,'WAIS-IV'!K123)</f>
        <v>3.8000000000000007</v>
      </c>
      <c r="J6" s="88">
        <f ca="1">IF(O2="F",'WAIS-IV'!P124,'WAIS-IV'!K124)</f>
        <v>-3.1999999999999993</v>
      </c>
      <c r="K6" s="88">
        <f ca="1">IF(O2="F",'WAIS-IV'!P125,'WAIS-IV'!K125)</f>
        <v>3.8000000000000007</v>
      </c>
      <c r="L6" s="88">
        <f ca="1">IF(O2="F",'WAIS-IV'!P126,'WAIS-IV'!K126)</f>
        <v>-2.1999999999999993</v>
      </c>
      <c r="M6" s="88">
        <f ca="1">'WAIS-IV'!P128</f>
        <v>0.46666666666666679</v>
      </c>
      <c r="N6" s="88">
        <f ca="1">'WAIS-IV'!P129</f>
        <v>4.4666666666666668</v>
      </c>
      <c r="O6" s="88">
        <f ca="1">'WAIS-IV'!P130</f>
        <v>-0.53333333333333321</v>
      </c>
      <c r="P6" s="88">
        <f ca="1">'WAIS-IV'!P132</f>
        <v>-1.5333333333333332</v>
      </c>
      <c r="Q6" s="88">
        <f ca="1">'WAIS-IV'!P133</f>
        <v>-6.5333333333333332</v>
      </c>
      <c r="R6" s="88">
        <f ca="1">'WAIS-IV'!P134</f>
        <v>-4.5333333333333332</v>
      </c>
    </row>
    <row r="7" spans="2:18">
      <c r="B7" s="2"/>
      <c r="C7" s="4" t="s">
        <v>198</v>
      </c>
      <c r="D7" s="87" t="str">
        <f ca="1">IF(O2="F",'WAIS-IV'!Q117,'WAIS-IV'!L117)</f>
        <v>s</v>
      </c>
      <c r="E7" s="87" t="str">
        <f ca="1">IF(O2="F",'WAIS-IV'!Q118,'WAIS-IV'!L118)</f>
        <v>w</v>
      </c>
      <c r="F7" s="87" t="str">
        <f ca="1">IF(O2="F",'WAIS-IV'!Q120,'WAIS-IV'!L120)</f>
        <v/>
      </c>
      <c r="G7" s="87" t="str">
        <f ca="1">IF(O2="F",'WAIS-IV'!Q119,'WAIS-IV'!L119)</f>
        <v/>
      </c>
      <c r="H7" s="87" t="str">
        <f ca="1">IF(O2="F",'WAIS-IV'!Q122,'WAIS-IV'!L122)</f>
        <v>w</v>
      </c>
      <c r="I7" s="87" t="str">
        <f ca="1">IF(O2="F",'WAIS-IV'!Q123,'WAIS-IV'!L123)</f>
        <v>s</v>
      </c>
      <c r="J7" s="87" t="str">
        <f ca="1">IF(O2="F",'WAIS-IV'!Q124,'WAIS-IV'!L124)</f>
        <v>w</v>
      </c>
      <c r="K7" s="87" t="str">
        <f ca="1">IF(O2="F",'WAIS-IV'!Q125,'WAIS-IV'!L125)</f>
        <v>s</v>
      </c>
      <c r="L7" s="87" t="str">
        <f ca="1">IF(O2="F",'WAIS-IV'!Q126,'WAIS-IV'!L126)</f>
        <v>w</v>
      </c>
      <c r="M7" s="87" t="str">
        <f ca="1">'WAIS-IV'!Q128</f>
        <v/>
      </c>
      <c r="N7" s="87" t="str">
        <f ca="1">'WAIS-IV'!Q129</f>
        <v>s</v>
      </c>
      <c r="O7" s="87" t="str">
        <f ca="1">'WAIS-IV'!Q130</f>
        <v/>
      </c>
      <c r="P7" s="87" t="str">
        <f ca="1">'WAIS-IV'!Q132</f>
        <v/>
      </c>
      <c r="Q7" s="87" t="str">
        <f ca="1">'WAIS-IV'!Q133</f>
        <v>w</v>
      </c>
      <c r="R7" s="87" t="str">
        <f ca="1">'WAIS-IV'!Q134</f>
        <v>w</v>
      </c>
    </row>
    <row r="8" spans="2:18">
      <c r="B8" s="2"/>
      <c r="C8" s="4" t="s">
        <v>199</v>
      </c>
      <c r="D8" s="209" t="str">
        <f t="shared" ref="D8:Q8" si="0">IF(D6="","",IF(SIGN(D6)=1,"+",IF(SIGN(D6)=-1,"-","")))</f>
        <v>+</v>
      </c>
      <c r="E8" s="209" t="str">
        <f t="shared" si="0"/>
        <v>-</v>
      </c>
      <c r="F8" s="209" t="str">
        <f>IF(F6="","",IF(SIGN(F6)=1,"+",IF(SIGN(F6)=-1,"-","")))</f>
        <v>-</v>
      </c>
      <c r="G8" s="209" t="str">
        <f t="shared" si="0"/>
        <v>-</v>
      </c>
      <c r="H8" s="209" t="str">
        <f>IF(H6="","",IF(SIGN(H6)=1,"+",IF(SIGN(H6)=-1,"-","")))</f>
        <v>-</v>
      </c>
      <c r="I8" s="209" t="str">
        <f>IF(I6="","",IF(SIGN(I6)=1,"+",IF(SIGN(I6)=-1,"-","")))</f>
        <v>+</v>
      </c>
      <c r="J8" s="209" t="str">
        <f>IF(J6="","",IF(SIGN(J6)=1,"+",IF(SIGN(J6)=-1,"-","")))</f>
        <v>-</v>
      </c>
      <c r="K8" s="209" t="str">
        <f>IF(K6="","",IF(SIGN(K6)=1,"+",IF(SIGN(K6)=-1,"-","")))</f>
        <v>+</v>
      </c>
      <c r="L8" s="209" t="str">
        <f t="shared" si="0"/>
        <v>-</v>
      </c>
      <c r="M8" s="209" t="str">
        <f t="shared" si="0"/>
        <v>+</v>
      </c>
      <c r="N8" s="209" t="str">
        <f>IF(N6="","",IF(SIGN(N6)=1,"+",IF(SIGN(N6)=-1,"-","")))</f>
        <v>+</v>
      </c>
      <c r="O8" s="209" t="str">
        <f t="shared" si="0"/>
        <v>-</v>
      </c>
      <c r="P8" s="209" t="str">
        <f>IF(P6="","",IF(SIGN(P6)=1,"+",IF(SIGN(P6)=-1,"-","")))</f>
        <v>-</v>
      </c>
      <c r="Q8" s="209" t="str">
        <f t="shared" si="0"/>
        <v>-</v>
      </c>
      <c r="R8" s="209" t="str">
        <f>IF(R6="","",IF(SIGN(R6)=1,"+",IF(SIGN(R6)=-1,"-","")))</f>
        <v>-</v>
      </c>
    </row>
    <row r="9" spans="2:18">
      <c r="B9" s="415" t="s">
        <v>200</v>
      </c>
      <c r="C9" s="415"/>
      <c r="D9" s="415"/>
      <c r="E9" s="415"/>
      <c r="F9" s="415"/>
      <c r="G9" s="415"/>
      <c r="H9" s="415"/>
      <c r="I9" s="415"/>
      <c r="J9" s="415"/>
      <c r="K9" s="415"/>
      <c r="L9" s="415"/>
      <c r="M9" s="415"/>
      <c r="N9" s="415"/>
      <c r="O9" s="415"/>
      <c r="P9" s="415"/>
      <c r="Q9" s="415"/>
      <c r="R9" s="415"/>
    </row>
    <row r="10" spans="2:18">
      <c r="B10" s="2" t="s">
        <v>201</v>
      </c>
      <c r="C10" s="2"/>
      <c r="D10" s="177"/>
      <c r="E10" s="177"/>
      <c r="F10" s="177"/>
      <c r="G10" s="177"/>
      <c r="H10" s="177"/>
      <c r="I10" s="177"/>
      <c r="J10" s="177"/>
      <c r="K10" s="285"/>
      <c r="L10" s="89" t="str">
        <f t="shared" ref="L10:R10" si="1">IF(L7="",L8,L7)</f>
        <v>w</v>
      </c>
      <c r="M10" s="89" t="str">
        <f t="shared" si="1"/>
        <v>+</v>
      </c>
      <c r="N10" s="89" t="str">
        <f t="shared" si="1"/>
        <v>s</v>
      </c>
      <c r="O10" s="89" t="str">
        <f t="shared" si="1"/>
        <v>-</v>
      </c>
      <c r="P10" s="89" t="str">
        <f t="shared" si="1"/>
        <v>-</v>
      </c>
      <c r="Q10" s="89" t="str">
        <f t="shared" si="1"/>
        <v>w</v>
      </c>
      <c r="R10" s="89" t="str">
        <f t="shared" si="1"/>
        <v>w</v>
      </c>
    </row>
    <row r="11" spans="2:18">
      <c r="B11" s="2" t="s">
        <v>233</v>
      </c>
      <c r="C11" s="2"/>
      <c r="D11" s="89" t="str">
        <f>IF(D7="",D8,D7)</f>
        <v>s</v>
      </c>
      <c r="E11" s="89" t="str">
        <f>IF(E7="",E8,E7)</f>
        <v>w</v>
      </c>
      <c r="F11" s="89" t="str">
        <f>IF(F7="",F8,F7)</f>
        <v>-</v>
      </c>
      <c r="G11" s="89" t="str">
        <f>IF(G7="",G8,G7)</f>
        <v>-</v>
      </c>
      <c r="H11" s="178"/>
      <c r="I11" s="178"/>
      <c r="J11" s="178"/>
      <c r="K11" s="285"/>
      <c r="L11" s="178"/>
      <c r="M11" s="89" t="str">
        <f>M10</f>
        <v>+</v>
      </c>
      <c r="N11" s="89" t="str">
        <f>N10</f>
        <v>s</v>
      </c>
      <c r="O11" s="89" t="str">
        <f>O10</f>
        <v>-</v>
      </c>
      <c r="P11" s="178"/>
      <c r="Q11" s="178"/>
      <c r="R11" s="178"/>
    </row>
    <row r="12" spans="2:18">
      <c r="B12" s="2" t="s">
        <v>202</v>
      </c>
      <c r="C12" s="2"/>
      <c r="D12" s="178"/>
      <c r="E12" s="178"/>
      <c r="F12" s="178"/>
      <c r="G12" s="178"/>
      <c r="H12" s="89" t="str">
        <f>IF(H7="",H8,H7)</f>
        <v>w</v>
      </c>
      <c r="I12" s="89" t="str">
        <f>IF(I7="",I8,I7)</f>
        <v>s</v>
      </c>
      <c r="J12" s="178"/>
      <c r="K12" s="89" t="str">
        <f>IF(K7="",K8,K7)</f>
        <v>s</v>
      </c>
      <c r="L12" s="178"/>
      <c r="M12" s="178"/>
      <c r="N12" s="178"/>
      <c r="O12" s="178"/>
      <c r="P12" s="89" t="str">
        <f>P10</f>
        <v>-</v>
      </c>
      <c r="Q12" s="89" t="str">
        <f>Q10</f>
        <v>w</v>
      </c>
      <c r="R12" s="89" t="str">
        <f>R10</f>
        <v>w</v>
      </c>
    </row>
    <row r="13" spans="2:18">
      <c r="B13" s="2" t="s">
        <v>203</v>
      </c>
      <c r="C13" s="2"/>
      <c r="D13" s="89" t="str">
        <f>D11</f>
        <v>s</v>
      </c>
      <c r="E13" s="178"/>
      <c r="F13" s="178"/>
      <c r="G13" s="178"/>
      <c r="H13" s="178"/>
      <c r="I13" s="89" t="str">
        <f>I12</f>
        <v>s</v>
      </c>
      <c r="J13" s="178"/>
      <c r="K13" s="285"/>
      <c r="L13" s="89" t="str">
        <f>L10</f>
        <v>w</v>
      </c>
      <c r="M13" s="178"/>
      <c r="N13" s="178"/>
      <c r="O13" s="178"/>
      <c r="P13" s="89" t="str">
        <f>P12</f>
        <v>-</v>
      </c>
      <c r="Q13" s="178"/>
      <c r="R13" s="89" t="str">
        <f>R12</f>
        <v>w</v>
      </c>
    </row>
    <row r="14" spans="2:18">
      <c r="B14" s="2" t="s">
        <v>204</v>
      </c>
      <c r="C14" s="2"/>
      <c r="D14" s="178"/>
      <c r="E14" s="178"/>
      <c r="F14" s="178"/>
      <c r="G14" s="178"/>
      <c r="H14" s="178"/>
      <c r="I14" s="178"/>
      <c r="J14" s="178"/>
      <c r="K14" s="285"/>
      <c r="L14" s="178"/>
      <c r="M14" s="89" t="str">
        <f>M11</f>
        <v>+</v>
      </c>
      <c r="N14" s="89" t="str">
        <f>N11</f>
        <v>s</v>
      </c>
      <c r="O14" s="89" t="str">
        <f>O11</f>
        <v>-</v>
      </c>
      <c r="P14" s="89" t="str">
        <f>P13</f>
        <v>-</v>
      </c>
      <c r="Q14" s="89" t="str">
        <f>Q12</f>
        <v>w</v>
      </c>
      <c r="R14" s="89" t="str">
        <f>R12</f>
        <v>w</v>
      </c>
    </row>
    <row r="15" spans="2:18">
      <c r="B15" s="2" t="s">
        <v>205</v>
      </c>
      <c r="C15" s="2"/>
      <c r="D15" s="178"/>
      <c r="E15" s="178"/>
      <c r="F15" s="178"/>
      <c r="G15" s="89" t="str">
        <f>G11</f>
        <v>-</v>
      </c>
      <c r="H15" s="178"/>
      <c r="I15" s="178"/>
      <c r="J15" s="178"/>
      <c r="K15" s="285"/>
      <c r="L15" s="178"/>
      <c r="M15" s="178"/>
      <c r="N15" s="89" t="str">
        <f>N14</f>
        <v>s</v>
      </c>
      <c r="O15" s="178"/>
      <c r="P15" s="178"/>
      <c r="Q15" s="178"/>
      <c r="R15" s="178"/>
    </row>
    <row r="16" spans="2:18">
      <c r="B16" s="2" t="s">
        <v>206</v>
      </c>
      <c r="C16" s="2"/>
      <c r="D16" s="89" t="str">
        <f>D13</f>
        <v>s</v>
      </c>
      <c r="E16" s="89" t="str">
        <f>IF(E7="",E8,E7)</f>
        <v>w</v>
      </c>
      <c r="F16" s="178"/>
      <c r="G16" s="178"/>
      <c r="H16" s="178"/>
      <c r="I16" s="178"/>
      <c r="J16" s="178"/>
      <c r="K16" s="285"/>
      <c r="L16" s="178"/>
      <c r="M16" s="89" t="str">
        <f>M14</f>
        <v>+</v>
      </c>
      <c r="N16" s="178"/>
      <c r="O16" s="89" t="str">
        <f>O14</f>
        <v>-</v>
      </c>
      <c r="P16" s="178"/>
      <c r="Q16" s="178"/>
      <c r="R16" s="178"/>
    </row>
    <row r="17" spans="2:18">
      <c r="B17" s="2" t="s">
        <v>207</v>
      </c>
      <c r="C17" s="2"/>
      <c r="D17" s="178"/>
      <c r="E17" s="178"/>
      <c r="F17" s="178"/>
      <c r="G17" s="178"/>
      <c r="H17" s="89" t="str">
        <f>H12</f>
        <v>w</v>
      </c>
      <c r="I17" s="178"/>
      <c r="J17" s="178"/>
      <c r="K17" s="285"/>
      <c r="L17" s="89" t="str">
        <f>L13</f>
        <v>w</v>
      </c>
      <c r="M17" s="178"/>
      <c r="N17" s="178"/>
      <c r="O17" s="178"/>
      <c r="P17" s="89" t="str">
        <f>P14</f>
        <v>-</v>
      </c>
      <c r="Q17" s="89" t="str">
        <f>Q14</f>
        <v>w</v>
      </c>
      <c r="R17" s="89" t="str">
        <f>R14</f>
        <v>w</v>
      </c>
    </row>
    <row r="18" spans="2:18">
      <c r="B18" s="2" t="s">
        <v>231</v>
      </c>
      <c r="C18" s="2"/>
      <c r="D18" s="178"/>
      <c r="E18" s="178"/>
      <c r="F18" s="178"/>
      <c r="G18" s="178"/>
      <c r="H18" s="89" t="str">
        <f>H17</f>
        <v>w</v>
      </c>
      <c r="I18" s="89" t="str">
        <f>I13</f>
        <v>s</v>
      </c>
      <c r="J18" s="89" t="str">
        <f>IF(J7="",J8,J7)</f>
        <v>w</v>
      </c>
      <c r="K18" s="285"/>
      <c r="L18" s="178"/>
      <c r="M18" s="178"/>
      <c r="N18" s="178"/>
      <c r="O18" s="178"/>
      <c r="P18" s="89" t="str">
        <f>P17</f>
        <v>-</v>
      </c>
      <c r="Q18" s="89" t="str">
        <f>Q17</f>
        <v>w</v>
      </c>
      <c r="R18" s="89" t="str">
        <f>R17</f>
        <v>w</v>
      </c>
    </row>
    <row r="19" spans="2:18">
      <c r="B19" s="2" t="s">
        <v>232</v>
      </c>
      <c r="C19" s="2"/>
      <c r="D19" s="178"/>
      <c r="E19" s="178"/>
      <c r="F19" s="178"/>
      <c r="G19" s="178"/>
      <c r="H19" s="178"/>
      <c r="I19" s="178"/>
      <c r="J19" s="178"/>
      <c r="K19" s="286" t="str">
        <f>K12</f>
        <v>s</v>
      </c>
      <c r="L19" s="89" t="str">
        <f>L17</f>
        <v>w</v>
      </c>
      <c r="M19" s="178"/>
      <c r="N19" s="178"/>
      <c r="O19" s="178"/>
      <c r="P19" s="178"/>
      <c r="Q19" s="178"/>
      <c r="R19" s="178"/>
    </row>
    <row r="20" spans="2:18">
      <c r="B20" s="415" t="s">
        <v>208</v>
      </c>
      <c r="C20" s="415"/>
      <c r="D20" s="415"/>
      <c r="E20" s="415"/>
      <c r="F20" s="415"/>
      <c r="G20" s="415"/>
      <c r="H20" s="415"/>
      <c r="I20" s="415"/>
      <c r="J20" s="415"/>
      <c r="K20" s="415"/>
      <c r="L20" s="415"/>
      <c r="M20" s="415"/>
      <c r="N20" s="415"/>
      <c r="O20" s="415"/>
      <c r="P20" s="415"/>
      <c r="Q20" s="415"/>
      <c r="R20" s="415"/>
    </row>
    <row r="21" spans="2:18">
      <c r="B21" s="2" t="s">
        <v>209</v>
      </c>
      <c r="C21" s="2"/>
      <c r="D21" s="89" t="str">
        <f>D16</f>
        <v>s</v>
      </c>
      <c r="E21" s="89" t="str">
        <f>E16</f>
        <v>w</v>
      </c>
      <c r="F21" s="89" t="str">
        <f>F11</f>
        <v>-</v>
      </c>
      <c r="G21" s="89" t="str">
        <f>G15</f>
        <v>-</v>
      </c>
      <c r="H21" s="178"/>
      <c r="I21" s="178"/>
      <c r="J21" s="178"/>
      <c r="K21" s="285"/>
      <c r="L21" s="178"/>
      <c r="M21" s="178"/>
      <c r="N21" s="89" t="str">
        <f>N15</f>
        <v>s</v>
      </c>
      <c r="O21" s="178"/>
      <c r="P21" s="178"/>
      <c r="Q21" s="178"/>
      <c r="R21" s="178"/>
    </row>
    <row r="22" spans="2:18">
      <c r="B22" s="2" t="s">
        <v>210</v>
      </c>
      <c r="C22" s="2"/>
      <c r="D22" s="178"/>
      <c r="E22" s="90" t="str">
        <f>E21</f>
        <v>w</v>
      </c>
      <c r="F22" s="89" t="str">
        <f>F21</f>
        <v>-</v>
      </c>
      <c r="G22" s="178"/>
      <c r="H22" s="178"/>
      <c r="I22" s="178"/>
      <c r="J22" s="178"/>
      <c r="K22" s="285"/>
      <c r="L22" s="178"/>
      <c r="M22" s="178"/>
      <c r="N22" s="89" t="str">
        <f>N21</f>
        <v>s</v>
      </c>
      <c r="O22" s="178"/>
      <c r="P22" s="178"/>
      <c r="Q22" s="178"/>
      <c r="R22" s="178"/>
    </row>
    <row r="23" spans="2:18">
      <c r="B23" s="2" t="s">
        <v>211</v>
      </c>
      <c r="C23" s="2"/>
      <c r="D23" s="89" t="str">
        <f>D21</f>
        <v>s</v>
      </c>
      <c r="E23" s="90" t="str">
        <f>E22</f>
        <v>w</v>
      </c>
      <c r="F23" s="178"/>
      <c r="G23" s="178"/>
      <c r="H23" s="89" t="str">
        <f>H18</f>
        <v>w</v>
      </c>
      <c r="I23" s="178"/>
      <c r="J23" s="178"/>
      <c r="K23" s="285"/>
      <c r="L23" s="178"/>
      <c r="M23" s="178"/>
      <c r="N23" s="178"/>
      <c r="O23" s="178"/>
      <c r="P23" s="178"/>
      <c r="Q23" s="178"/>
      <c r="R23" s="178"/>
    </row>
    <row r="24" spans="2:18">
      <c r="B24" s="2" t="s">
        <v>212</v>
      </c>
      <c r="C24" s="2"/>
      <c r="D24" s="89" t="str">
        <f>D23</f>
        <v>s</v>
      </c>
      <c r="E24" s="90" t="str">
        <f>E23</f>
        <v>w</v>
      </c>
      <c r="F24" s="89" t="str">
        <f>F22</f>
        <v>-</v>
      </c>
      <c r="G24" s="89" t="str">
        <f>G21</f>
        <v>-</v>
      </c>
      <c r="H24" s="178"/>
      <c r="I24" s="178"/>
      <c r="J24" s="178"/>
      <c r="K24" s="285"/>
      <c r="L24" s="178"/>
      <c r="M24" s="178"/>
      <c r="N24" s="178"/>
      <c r="O24" s="178"/>
      <c r="P24" s="178"/>
      <c r="Q24" s="178"/>
      <c r="R24" s="178"/>
    </row>
    <row r="25" spans="2:18">
      <c r="B25" s="2" t="s">
        <v>213</v>
      </c>
      <c r="C25" s="2"/>
      <c r="D25" s="178"/>
      <c r="E25" s="178"/>
      <c r="F25" s="89" t="str">
        <f>F24</f>
        <v>-</v>
      </c>
      <c r="G25" s="89" t="str">
        <f>G24</f>
        <v>-</v>
      </c>
      <c r="H25" s="178"/>
      <c r="I25" s="178"/>
      <c r="J25" s="178"/>
      <c r="K25" s="285"/>
      <c r="L25" s="178"/>
      <c r="M25" s="178"/>
      <c r="N25" s="178"/>
      <c r="O25" s="178"/>
      <c r="P25" s="178"/>
      <c r="Q25" s="178"/>
      <c r="R25" s="178"/>
    </row>
    <row r="26" spans="2:18">
      <c r="B26" s="2" t="s">
        <v>214</v>
      </c>
      <c r="C26" s="2"/>
      <c r="D26" s="178"/>
      <c r="E26" s="178"/>
      <c r="F26" s="178"/>
      <c r="G26" s="178"/>
      <c r="H26" s="178"/>
      <c r="I26" s="178"/>
      <c r="J26" s="178"/>
      <c r="K26" s="286" t="str">
        <f>K19</f>
        <v>s</v>
      </c>
      <c r="L26" s="178"/>
      <c r="M26" s="89" t="str">
        <f>M16</f>
        <v>+</v>
      </c>
      <c r="N26" s="89" t="str">
        <f>N22</f>
        <v>s</v>
      </c>
      <c r="O26" s="89" t="str">
        <f>O16</f>
        <v>-</v>
      </c>
      <c r="P26" s="178"/>
      <c r="Q26" s="89" t="str">
        <f>Q18</f>
        <v>w</v>
      </c>
      <c r="R26" s="178"/>
    </row>
    <row r="27" spans="2:18">
      <c r="B27" s="2" t="s">
        <v>215</v>
      </c>
      <c r="C27" s="2"/>
      <c r="D27" s="89" t="str">
        <f>D24</f>
        <v>s</v>
      </c>
      <c r="E27" s="178"/>
      <c r="F27" s="178"/>
      <c r="G27" s="178"/>
      <c r="H27" s="178"/>
      <c r="I27" s="89" t="str">
        <f>I18</f>
        <v>s</v>
      </c>
      <c r="J27" s="178"/>
      <c r="K27" s="286" t="str">
        <f>K26</f>
        <v>s</v>
      </c>
      <c r="L27" s="178"/>
      <c r="M27" s="178"/>
      <c r="N27" s="89" t="str">
        <f>N26</f>
        <v>s</v>
      </c>
      <c r="O27" s="178"/>
      <c r="P27" s="178"/>
      <c r="Q27" s="178"/>
      <c r="R27" s="178"/>
    </row>
    <row r="28" spans="2:18">
      <c r="B28" s="2" t="s">
        <v>216</v>
      </c>
      <c r="C28" s="2"/>
      <c r="D28" s="178"/>
      <c r="E28" s="89" t="str">
        <f>E24</f>
        <v>w</v>
      </c>
      <c r="F28" s="89" t="str">
        <f>F25</f>
        <v>-</v>
      </c>
      <c r="G28" s="178"/>
      <c r="H28" s="178"/>
      <c r="I28" s="178"/>
      <c r="J28" s="178"/>
      <c r="K28" s="285"/>
      <c r="L28" s="178"/>
      <c r="M28" s="178"/>
      <c r="N28" s="178"/>
      <c r="O28" s="178"/>
      <c r="P28" s="178"/>
      <c r="Q28" s="178"/>
      <c r="R28" s="178"/>
    </row>
    <row r="29" spans="2:18">
      <c r="B29" s="2" t="s">
        <v>217</v>
      </c>
      <c r="C29" s="2"/>
      <c r="D29" s="178"/>
      <c r="E29" s="178"/>
      <c r="F29" s="89" t="str">
        <f>F28</f>
        <v>-</v>
      </c>
      <c r="G29" s="178"/>
      <c r="H29" s="178"/>
      <c r="I29" s="178"/>
      <c r="J29" s="178"/>
      <c r="K29" s="285"/>
      <c r="L29" s="178"/>
      <c r="M29" s="89" t="str">
        <f>M16</f>
        <v>+</v>
      </c>
      <c r="N29" s="89" t="str">
        <f>N27</f>
        <v>s</v>
      </c>
      <c r="O29" s="89" t="str">
        <f>O26</f>
        <v>-</v>
      </c>
      <c r="P29" s="178"/>
      <c r="Q29" s="178"/>
      <c r="R29" s="178"/>
    </row>
    <row r="30" spans="2:18">
      <c r="B30" s="2" t="s">
        <v>218</v>
      </c>
      <c r="C30" s="2"/>
      <c r="D30" s="178"/>
      <c r="E30" s="178"/>
      <c r="F30" s="178"/>
      <c r="G30" s="178"/>
      <c r="H30" s="178"/>
      <c r="I30" s="89" t="str">
        <f>I27</f>
        <v>s</v>
      </c>
      <c r="J30" s="178"/>
      <c r="K30" s="286" t="str">
        <f>K27</f>
        <v>s</v>
      </c>
      <c r="L30" s="178"/>
      <c r="M30" s="178"/>
      <c r="N30" s="178"/>
      <c r="O30" s="178"/>
      <c r="P30" s="178"/>
      <c r="Q30" s="178"/>
      <c r="R30" s="178"/>
    </row>
    <row r="31" spans="2:18">
      <c r="B31" s="2" t="s">
        <v>219</v>
      </c>
      <c r="C31" s="2"/>
      <c r="D31" s="178"/>
      <c r="E31" s="178"/>
      <c r="F31" s="178"/>
      <c r="G31" s="178"/>
      <c r="H31" s="178"/>
      <c r="I31" s="178"/>
      <c r="J31" s="178"/>
      <c r="K31" s="285"/>
      <c r="L31" s="178"/>
      <c r="M31" s="178"/>
      <c r="N31" s="178"/>
      <c r="O31" s="178"/>
      <c r="P31" s="89" t="str">
        <f>P18</f>
        <v>-</v>
      </c>
      <c r="Q31" s="178"/>
      <c r="R31" s="89" t="str">
        <f>R18</f>
        <v>w</v>
      </c>
    </row>
    <row r="32" spans="2:18">
      <c r="B32" s="2" t="s">
        <v>220</v>
      </c>
      <c r="C32" s="2"/>
      <c r="D32" s="178"/>
      <c r="E32" s="178"/>
      <c r="F32" s="178"/>
      <c r="G32" s="178"/>
      <c r="H32" s="178"/>
      <c r="I32" s="178"/>
      <c r="J32" s="178"/>
      <c r="K32" s="285"/>
      <c r="L32" s="178"/>
      <c r="M32" s="89" t="str">
        <f>M29</f>
        <v>+</v>
      </c>
      <c r="N32" s="89" t="str">
        <f>N29</f>
        <v>s</v>
      </c>
      <c r="O32" s="89" t="str">
        <f>O29</f>
        <v>-</v>
      </c>
      <c r="P32" s="178"/>
      <c r="Q32" s="89" t="str">
        <f>Q26</f>
        <v>w</v>
      </c>
      <c r="R32" s="178"/>
    </row>
    <row r="33" spans="2:18">
      <c r="B33" s="2" t="s">
        <v>221</v>
      </c>
      <c r="C33" s="2"/>
      <c r="D33" s="89" t="str">
        <f>D27</f>
        <v>s</v>
      </c>
      <c r="E33" s="178"/>
      <c r="F33" s="178"/>
      <c r="G33" s="89" t="str">
        <f>G25</f>
        <v>-</v>
      </c>
      <c r="H33" s="178"/>
      <c r="I33" s="178"/>
      <c r="J33" s="178"/>
      <c r="K33" s="285"/>
      <c r="L33" s="178"/>
      <c r="M33" s="178"/>
      <c r="N33" s="178"/>
      <c r="O33" s="178"/>
      <c r="P33" s="178"/>
      <c r="Q33" s="178"/>
      <c r="R33" s="178"/>
    </row>
    <row r="34" spans="2:18">
      <c r="B34" s="2" t="s">
        <v>222</v>
      </c>
      <c r="C34" s="2"/>
      <c r="D34" s="178"/>
      <c r="E34" s="178"/>
      <c r="F34" s="178"/>
      <c r="G34" s="178"/>
      <c r="H34" s="178"/>
      <c r="I34" s="178"/>
      <c r="J34" s="178"/>
      <c r="K34" s="285"/>
      <c r="L34" s="89" t="str">
        <f>L19</f>
        <v>w</v>
      </c>
      <c r="M34" s="178"/>
      <c r="N34" s="178"/>
      <c r="O34" s="178"/>
      <c r="P34" s="178"/>
      <c r="Q34" s="89" t="str">
        <f>Q32</f>
        <v>w</v>
      </c>
      <c r="R34" s="178"/>
    </row>
    <row r="35" spans="2:18">
      <c r="B35" s="2" t="s">
        <v>223</v>
      </c>
      <c r="C35" s="2"/>
      <c r="D35" s="178"/>
      <c r="E35" s="178"/>
      <c r="F35" s="178"/>
      <c r="G35" s="178"/>
      <c r="H35" s="89" t="str">
        <f>H23</f>
        <v>w</v>
      </c>
      <c r="I35" s="89" t="str">
        <f>I30</f>
        <v>s</v>
      </c>
      <c r="J35" s="89" t="str">
        <f>J18</f>
        <v>w</v>
      </c>
      <c r="K35" s="286" t="str">
        <f>K30</f>
        <v>s</v>
      </c>
      <c r="L35" s="89" t="str">
        <f>L34</f>
        <v>w</v>
      </c>
      <c r="M35" s="178"/>
      <c r="N35" s="178"/>
      <c r="O35" s="178"/>
      <c r="P35" s="178"/>
      <c r="Q35" s="178"/>
      <c r="R35" s="89" t="str">
        <f>R31</f>
        <v>w</v>
      </c>
    </row>
    <row r="36" spans="2:18">
      <c r="B36" s="2" t="s">
        <v>224</v>
      </c>
      <c r="C36" s="2"/>
      <c r="D36" s="178"/>
      <c r="E36" s="178"/>
      <c r="F36" s="178"/>
      <c r="G36" s="178"/>
      <c r="H36" s="178"/>
      <c r="I36" s="178"/>
      <c r="J36" s="178"/>
      <c r="K36" s="285"/>
      <c r="L36" s="178"/>
      <c r="M36" s="178"/>
      <c r="N36" s="178"/>
      <c r="O36" s="178"/>
      <c r="P36" s="178"/>
      <c r="Q36" s="89" t="str">
        <f>Q34</f>
        <v>w</v>
      </c>
      <c r="R36" s="89" t="str">
        <f>R35</f>
        <v>w</v>
      </c>
    </row>
    <row r="37" spans="2:18">
      <c r="B37" s="415" t="s">
        <v>225</v>
      </c>
      <c r="C37" s="415"/>
      <c r="D37" s="415"/>
      <c r="E37" s="415"/>
      <c r="F37" s="415"/>
      <c r="G37" s="415"/>
      <c r="H37" s="415"/>
      <c r="I37" s="415"/>
      <c r="J37" s="415"/>
      <c r="K37" s="415"/>
      <c r="L37" s="415"/>
      <c r="M37" s="415"/>
      <c r="N37" s="415"/>
      <c r="O37" s="415"/>
      <c r="P37" s="415"/>
      <c r="Q37" s="415"/>
      <c r="R37" s="415"/>
    </row>
    <row r="38" spans="2:18">
      <c r="B38" s="2" t="s">
        <v>226</v>
      </c>
      <c r="C38" s="2"/>
      <c r="D38" s="178"/>
      <c r="E38" s="89" t="str">
        <f>E28</f>
        <v>w</v>
      </c>
      <c r="F38" s="178"/>
      <c r="G38" s="89" t="str">
        <f>G33</f>
        <v>-</v>
      </c>
      <c r="H38" s="178"/>
      <c r="I38" s="178"/>
      <c r="J38" s="178"/>
      <c r="K38" s="285"/>
      <c r="L38" s="178"/>
      <c r="M38" s="178"/>
      <c r="N38" s="178"/>
      <c r="O38" s="178"/>
      <c r="P38" s="178"/>
      <c r="Q38" s="178"/>
      <c r="R38" s="178"/>
    </row>
    <row r="39" spans="2:18">
      <c r="B39" s="2" t="s">
        <v>227</v>
      </c>
      <c r="C39" s="2"/>
      <c r="D39" s="178"/>
      <c r="E39" s="178"/>
      <c r="F39" s="89" t="str">
        <f>F29</f>
        <v>-</v>
      </c>
      <c r="G39" s="178"/>
      <c r="H39" s="178"/>
      <c r="I39" s="178"/>
      <c r="J39" s="178"/>
      <c r="K39" s="285"/>
      <c r="L39" s="178"/>
      <c r="M39" s="89" t="str">
        <f>M32</f>
        <v>+</v>
      </c>
      <c r="N39" s="89" t="str">
        <f>N32</f>
        <v>s</v>
      </c>
      <c r="O39" s="89" t="str">
        <f>O32</f>
        <v>-</v>
      </c>
      <c r="P39" s="178"/>
      <c r="Q39" s="178"/>
      <c r="R39" s="178"/>
    </row>
    <row r="40" spans="2:18">
      <c r="B40" s="2" t="s">
        <v>228</v>
      </c>
      <c r="C40" s="2"/>
      <c r="D40" s="178"/>
      <c r="E40" s="178"/>
      <c r="F40" s="178"/>
      <c r="G40" s="178"/>
      <c r="H40" s="178"/>
      <c r="I40" s="89" t="str">
        <f>I35</f>
        <v>s</v>
      </c>
      <c r="J40" s="89" t="str">
        <f>J35</f>
        <v>w</v>
      </c>
      <c r="K40" s="285"/>
      <c r="L40" s="89" t="str">
        <f>L35</f>
        <v>w</v>
      </c>
      <c r="M40" s="178"/>
      <c r="N40" s="178"/>
      <c r="O40" s="178"/>
      <c r="P40" s="178"/>
      <c r="Q40" s="178"/>
      <c r="R40" s="178"/>
    </row>
    <row r="41" spans="2:18">
      <c r="B41" s="2" t="s">
        <v>229</v>
      </c>
      <c r="C41" s="2"/>
      <c r="D41" s="178"/>
      <c r="E41" s="178"/>
      <c r="F41" s="178"/>
      <c r="G41" s="178"/>
      <c r="H41" s="89" t="str">
        <f>H35</f>
        <v>w</v>
      </c>
      <c r="I41" s="178"/>
      <c r="J41" s="178"/>
      <c r="K41" s="285"/>
      <c r="L41" s="178"/>
      <c r="M41" s="178"/>
      <c r="N41" s="178"/>
      <c r="O41" s="178"/>
      <c r="P41" s="89" t="str">
        <f>P31</f>
        <v>-</v>
      </c>
      <c r="Q41" s="89" t="str">
        <f>Q36</f>
        <v>w</v>
      </c>
      <c r="R41" s="89" t="str">
        <f>R36</f>
        <v>w</v>
      </c>
    </row>
    <row r="42" spans="2:18">
      <c r="B42" s="2"/>
      <c r="C42" s="2"/>
      <c r="D42" s="2"/>
      <c r="E42" s="2"/>
      <c r="F42" s="2"/>
      <c r="G42" s="2"/>
      <c r="H42" s="2"/>
      <c r="I42" s="2"/>
      <c r="J42" s="2"/>
      <c r="L42" s="2"/>
      <c r="M42" s="2"/>
      <c r="N42" s="2"/>
      <c r="O42" s="2"/>
      <c r="P42" s="2"/>
      <c r="Q42" s="2"/>
      <c r="R42" s="2"/>
    </row>
  </sheetData>
  <sheetProtection password="8D61" sheet="1" objects="1" scenarios="1" selectLockedCells="1"/>
  <mergeCells count="7">
    <mergeCell ref="B37:R37"/>
    <mergeCell ref="D4:G4"/>
    <mergeCell ref="H4:L4"/>
    <mergeCell ref="M4:O4"/>
    <mergeCell ref="P4:R4"/>
    <mergeCell ref="B9:R9"/>
    <mergeCell ref="B20:R20"/>
  </mergeCells>
  <phoneticPr fontId="4" type="noConversion"/>
  <printOptions horizontalCentered="1" verticalCentered="1"/>
  <pageMargins left="0" right="0" top="0.8" bottom="1" header="0.47" footer="0.56000000000000005"/>
  <pageSetup orientation="portrait" r:id="rId1"/>
  <headerFooter alignWithMargins="0">
    <oddHeader>&amp;C&amp;"Geneva,Bold"&amp;14DUMONT/WILLIS WAIS-IV Computer Template</oddHeader>
    <oddFooter>&amp;L&amp;8WAIS-IV © The Psychological Corporation All rights reserved &amp;R&amp;8Page &amp;P  WAIS-IV Template © Dumont - Willis 2008</oddFooter>
  </headerFooter>
</worksheet>
</file>

<file path=xl/worksheets/sheet4.xml><?xml version="1.0" encoding="utf-8"?>
<worksheet xmlns="http://schemas.openxmlformats.org/spreadsheetml/2006/main" xmlns:r="http://schemas.openxmlformats.org/officeDocument/2006/relationships">
  <dimension ref="B2:L38"/>
  <sheetViews>
    <sheetView showGridLines="0" zoomScaleNormal="100" workbookViewId="0">
      <selection activeCell="E6" sqref="E6"/>
    </sheetView>
  </sheetViews>
  <sheetFormatPr defaultRowHeight="12"/>
  <cols>
    <col min="1" max="1" width="2.140625" style="44" customWidth="1"/>
    <col min="2" max="2" width="9.140625" style="44"/>
    <col min="3" max="3" width="26.7109375" style="44" customWidth="1"/>
    <col min="4" max="4" width="9.140625" style="44"/>
    <col min="5" max="5" width="38.7109375" style="287" bestFit="1" customWidth="1"/>
    <col min="6" max="16384" width="9.140625" style="44"/>
  </cols>
  <sheetData>
    <row r="2" spans="2:10" ht="18.75">
      <c r="B2" s="419" t="s">
        <v>406</v>
      </c>
      <c r="C2" s="419"/>
      <c r="D2" s="419"/>
      <c r="E2" s="419"/>
    </row>
    <row r="3" spans="2:10" ht="5.25" customHeight="1"/>
    <row r="4" spans="2:10" ht="28.5" customHeight="1">
      <c r="B4" s="417" t="s">
        <v>407</v>
      </c>
      <c r="C4" s="417"/>
      <c r="D4" s="417"/>
      <c r="E4" s="417"/>
      <c r="F4" s="288"/>
      <c r="G4" s="289"/>
      <c r="H4" s="288"/>
      <c r="I4" s="288"/>
      <c r="J4" s="288"/>
    </row>
    <row r="5" spans="2:10" ht="18" customHeight="1">
      <c r="B5" s="290"/>
      <c r="C5" s="291" t="s">
        <v>424</v>
      </c>
      <c r="D5" s="291" t="s">
        <v>425</v>
      </c>
      <c r="E5" s="290" t="s">
        <v>426</v>
      </c>
      <c r="F5" s="288"/>
      <c r="G5" s="289"/>
      <c r="H5" s="288"/>
      <c r="I5" s="288"/>
      <c r="J5" s="288"/>
    </row>
    <row r="6" spans="2:10" ht="19.5" customHeight="1">
      <c r="B6" s="74"/>
      <c r="C6" s="292" t="s">
        <v>10</v>
      </c>
      <c r="D6" s="293">
        <f ca="1">IF(sim="","",sim)</f>
        <v>16</v>
      </c>
      <c r="E6" s="294" t="s">
        <v>427</v>
      </c>
      <c r="F6" s="288"/>
      <c r="G6" s="288"/>
      <c r="H6" s="288"/>
      <c r="I6" s="288"/>
      <c r="J6" s="288"/>
    </row>
    <row r="7" spans="2:10" ht="15">
      <c r="B7" s="295"/>
      <c r="C7" s="296" t="s">
        <v>15</v>
      </c>
      <c r="D7" s="297">
        <f ca="1">IF(IN="","",IN)</f>
        <v>12</v>
      </c>
      <c r="E7" s="298" t="s">
        <v>429</v>
      </c>
      <c r="F7" s="288"/>
      <c r="G7" s="288"/>
      <c r="H7" s="288"/>
      <c r="I7" s="288"/>
      <c r="J7" s="288"/>
    </row>
    <row r="8" spans="2:10" ht="15">
      <c r="B8" s="295"/>
      <c r="C8" s="296" t="s">
        <v>9</v>
      </c>
      <c r="D8" s="297">
        <f ca="1">IF(VOC="","",VOC)</f>
        <v>11</v>
      </c>
      <c r="E8" s="298" t="s">
        <v>428</v>
      </c>
    </row>
    <row r="9" spans="2:10" ht="13.5" customHeight="1">
      <c r="B9" s="299"/>
      <c r="C9" s="292" t="s">
        <v>17</v>
      </c>
      <c r="D9" s="293">
        <f ca="1">IF(COMP="","",COMP)</f>
        <v>12</v>
      </c>
      <c r="E9" s="294" t="s">
        <v>427</v>
      </c>
    </row>
    <row r="10" spans="2:10" ht="13.5" customHeight="1">
      <c r="B10" s="300"/>
      <c r="C10" s="301"/>
      <c r="D10" s="302"/>
      <c r="E10" s="303"/>
    </row>
    <row r="11" spans="2:10" ht="37.5" customHeight="1">
      <c r="B11" s="417" t="s">
        <v>408</v>
      </c>
      <c r="C11" s="417"/>
      <c r="D11" s="417"/>
      <c r="E11" s="417"/>
      <c r="F11" s="288"/>
      <c r="G11" s="288"/>
    </row>
    <row r="12" spans="2:10" ht="20.25" customHeight="1">
      <c r="B12" s="290"/>
      <c r="C12" s="291" t="s">
        <v>424</v>
      </c>
      <c r="D12" s="291" t="s">
        <v>425</v>
      </c>
      <c r="E12" s="290" t="s">
        <v>426</v>
      </c>
      <c r="F12" s="288"/>
      <c r="G12" s="288"/>
    </row>
    <row r="13" spans="2:10" ht="19.5" customHeight="1">
      <c r="C13" s="296" t="s">
        <v>11</v>
      </c>
      <c r="D13" s="297">
        <f ca="1">IF(bd="","",bd)</f>
        <v>10</v>
      </c>
      <c r="E13" s="298" t="s">
        <v>414</v>
      </c>
    </row>
    <row r="14" spans="2:10" ht="15">
      <c r="B14" s="295"/>
      <c r="C14" s="296" t="s">
        <v>311</v>
      </c>
      <c r="D14" s="297">
        <f ca="1">IF(VP="","",VP)</f>
        <v>9</v>
      </c>
      <c r="E14" s="298" t="s">
        <v>415</v>
      </c>
    </row>
    <row r="15" spans="2:10" ht="15">
      <c r="B15" s="295"/>
      <c r="C15" s="296" t="s">
        <v>5</v>
      </c>
      <c r="D15" s="297">
        <f ca="1">IF(PCm="","",PCm)</f>
        <v>10</v>
      </c>
      <c r="E15" s="298" t="s">
        <v>416</v>
      </c>
    </row>
    <row r="16" spans="2:10" ht="15">
      <c r="B16" s="300"/>
      <c r="C16" s="301"/>
      <c r="D16" s="302"/>
      <c r="E16" s="303"/>
    </row>
    <row r="17" spans="2:12" ht="34.5" customHeight="1">
      <c r="B17" s="417" t="s">
        <v>409</v>
      </c>
      <c r="C17" s="417"/>
      <c r="D17" s="417"/>
      <c r="E17" s="417"/>
      <c r="G17" s="289"/>
    </row>
    <row r="18" spans="2:12" ht="15" customHeight="1">
      <c r="B18" s="290"/>
      <c r="C18" s="291" t="s">
        <v>424</v>
      </c>
      <c r="D18" s="291" t="s">
        <v>425</v>
      </c>
      <c r="E18" s="290" t="s">
        <v>426</v>
      </c>
      <c r="G18" s="289"/>
    </row>
    <row r="19" spans="2:12" ht="18" customHeight="1">
      <c r="C19" s="296" t="s">
        <v>413</v>
      </c>
      <c r="D19" s="297">
        <f ca="1">IF(dsf="","",dsf)</f>
        <v>18</v>
      </c>
      <c r="E19" s="298" t="s">
        <v>417</v>
      </c>
    </row>
    <row r="20" spans="2:12" ht="15" customHeight="1">
      <c r="B20" s="289"/>
      <c r="C20" s="296" t="s">
        <v>176</v>
      </c>
      <c r="D20" s="297">
        <f ca="1">IF(dsb="","",dsb)</f>
        <v>17</v>
      </c>
      <c r="E20" s="298" t="s">
        <v>418</v>
      </c>
      <c r="H20" s="288"/>
      <c r="I20" s="288"/>
      <c r="J20" s="288"/>
      <c r="K20" s="288"/>
      <c r="L20" s="288"/>
    </row>
    <row r="21" spans="2:12" ht="15">
      <c r="B21" s="289"/>
      <c r="C21" s="296" t="s">
        <v>317</v>
      </c>
      <c r="D21" s="297">
        <f ca="1">IF(dssq="","",dssq)</f>
        <v>13</v>
      </c>
      <c r="E21" s="298" t="s">
        <v>418</v>
      </c>
      <c r="G21" s="288"/>
      <c r="H21" s="288"/>
      <c r="I21" s="288"/>
      <c r="J21" s="288"/>
      <c r="K21" s="288"/>
      <c r="L21" s="288"/>
    </row>
    <row r="22" spans="2:12" ht="15">
      <c r="B22" s="289"/>
      <c r="C22" s="296" t="s">
        <v>276</v>
      </c>
      <c r="D22" s="297">
        <f ca="1">IF(lns="","",lns)</f>
        <v>11</v>
      </c>
      <c r="E22" s="298" t="s">
        <v>418</v>
      </c>
    </row>
    <row r="23" spans="2:12">
      <c r="B23" s="304"/>
      <c r="C23" s="304"/>
      <c r="D23" s="304"/>
      <c r="E23" s="305"/>
    </row>
    <row r="24" spans="2:12" ht="35.25" customHeight="1">
      <c r="B24" s="417" t="s">
        <v>410</v>
      </c>
      <c r="C24" s="417"/>
      <c r="D24" s="417"/>
      <c r="E24" s="417"/>
      <c r="G24" s="289"/>
    </row>
    <row r="25" spans="2:12" ht="15" customHeight="1">
      <c r="B25" s="290"/>
      <c r="C25" s="291" t="s">
        <v>424</v>
      </c>
      <c r="D25" s="291" t="s">
        <v>425</v>
      </c>
      <c r="E25" s="290" t="s">
        <v>426</v>
      </c>
      <c r="G25" s="289"/>
    </row>
    <row r="26" spans="2:12" ht="18" customHeight="1">
      <c r="C26" s="296" t="s">
        <v>18</v>
      </c>
      <c r="D26" s="297">
        <f ca="1">IF(SS="","",SS)</f>
        <v>10</v>
      </c>
      <c r="E26" s="298" t="s">
        <v>419</v>
      </c>
    </row>
    <row r="27" spans="2:12" ht="15">
      <c r="B27" s="295"/>
      <c r="C27" s="296" t="s">
        <v>112</v>
      </c>
      <c r="D27" s="297">
        <f ca="1">IF(CD="","",CD)</f>
        <v>5</v>
      </c>
      <c r="E27" s="298" t="s">
        <v>420</v>
      </c>
    </row>
    <row r="28" spans="2:12" ht="15">
      <c r="B28" s="289"/>
      <c r="C28" s="296" t="s">
        <v>168</v>
      </c>
      <c r="D28" s="297">
        <f ca="1">IF(CA="","",CA)</f>
        <v>7</v>
      </c>
      <c r="E28" s="298" t="s">
        <v>419</v>
      </c>
    </row>
    <row r="29" spans="2:12">
      <c r="B29" s="304"/>
      <c r="C29" s="304"/>
      <c r="D29" s="304"/>
      <c r="E29" s="305"/>
    </row>
    <row r="30" spans="2:12" ht="31.5" customHeight="1">
      <c r="B30" s="417" t="s">
        <v>411</v>
      </c>
      <c r="C30" s="417"/>
      <c r="D30" s="417"/>
      <c r="E30" s="417"/>
      <c r="G30" s="288"/>
      <c r="H30" s="288"/>
      <c r="I30" s="288"/>
      <c r="J30" s="288"/>
      <c r="K30" s="288"/>
    </row>
    <row r="31" spans="2:12" ht="18.75" customHeight="1">
      <c r="B31" s="290"/>
      <c r="C31" s="291" t="s">
        <v>424</v>
      </c>
      <c r="D31" s="291" t="s">
        <v>425</v>
      </c>
      <c r="E31" s="290" t="s">
        <v>426</v>
      </c>
      <c r="G31" s="288"/>
      <c r="H31" s="288"/>
      <c r="I31" s="288"/>
      <c r="J31" s="288"/>
      <c r="K31" s="288"/>
    </row>
    <row r="32" spans="2:12" ht="21.75" customHeight="1">
      <c r="B32" s="288"/>
      <c r="C32" s="296" t="s">
        <v>13</v>
      </c>
      <c r="D32" s="297">
        <f ca="1">IF(MR="","",MR)</f>
        <v>16</v>
      </c>
      <c r="E32" s="298" t="s">
        <v>423</v>
      </c>
      <c r="F32" s="288"/>
      <c r="G32" s="288"/>
      <c r="H32" s="288"/>
      <c r="I32" s="288"/>
      <c r="J32" s="288"/>
      <c r="K32" s="288"/>
    </row>
    <row r="33" spans="2:9" ht="15">
      <c r="B33" s="295"/>
      <c r="C33" s="296" t="s">
        <v>312</v>
      </c>
      <c r="D33" s="297">
        <f ca="1">IF(FW="","",FW)</f>
        <v>16</v>
      </c>
      <c r="E33" s="298" t="s">
        <v>421</v>
      </c>
    </row>
    <row r="34" spans="2:9">
      <c r="B34" s="304"/>
      <c r="C34" s="304"/>
      <c r="D34" s="304"/>
      <c r="E34" s="305"/>
    </row>
    <row r="35" spans="2:9" ht="28.5" customHeight="1">
      <c r="B35" s="418" t="s">
        <v>412</v>
      </c>
      <c r="C35" s="418"/>
      <c r="D35" s="418"/>
      <c r="E35" s="418"/>
      <c r="F35" s="306"/>
      <c r="G35" s="306"/>
      <c r="H35" s="306"/>
      <c r="I35" s="306"/>
    </row>
    <row r="36" spans="2:9" ht="18.75" customHeight="1">
      <c r="B36" s="290"/>
      <c r="C36" s="291" t="s">
        <v>424</v>
      </c>
      <c r="D36" s="291" t="s">
        <v>425</v>
      </c>
      <c r="E36" s="290" t="s">
        <v>426</v>
      </c>
      <c r="F36" s="306"/>
      <c r="G36" s="306"/>
      <c r="H36" s="306"/>
      <c r="I36" s="306"/>
    </row>
    <row r="37" spans="2:9" ht="20.25" customHeight="1">
      <c r="C37" s="296" t="s">
        <v>167</v>
      </c>
      <c r="D37" s="297">
        <f ca="1">IF(AR="","",AR)</f>
        <v>16</v>
      </c>
      <c r="E37" s="298" t="s">
        <v>422</v>
      </c>
    </row>
    <row r="38" spans="2:9">
      <c r="B38" s="304"/>
      <c r="C38" s="304"/>
      <c r="D38" s="304"/>
      <c r="E38" s="305"/>
    </row>
  </sheetData>
  <sheetProtection password="8D61" sheet="1" objects="1" scenarios="1" selectLockedCells="1"/>
  <mergeCells count="7">
    <mergeCell ref="B30:E30"/>
    <mergeCell ref="B35:E35"/>
    <mergeCell ref="B2:E2"/>
    <mergeCell ref="B4:E4"/>
    <mergeCell ref="B11:E11"/>
    <mergeCell ref="B17:E17"/>
    <mergeCell ref="B24:E24"/>
  </mergeCells>
  <phoneticPr fontId="4" type="noConversion"/>
  <printOptions horizontalCentered="1" verticalCentered="1"/>
  <pageMargins left="0.7" right="0.7" top="0.75" bottom="0.75" header="0.3" footer="0.3"/>
  <pageSetup orientation="portrait" r:id="rId1"/>
  <headerFooter>
    <oddHeader>&amp;C&amp;16DUMONT/WILLIS WAIS-IV Computer Template</oddHeader>
    <oddFooter>&amp;LWAIS-IV © The Psychological Corporation All rights reserved &amp;RPage &amp;P  WAIS-IV Template © Dumont - Willis 2008</oddFooter>
  </headerFooter>
</worksheet>
</file>

<file path=xl/worksheets/sheet5.xml><?xml version="1.0" encoding="utf-8"?>
<worksheet xmlns="http://schemas.openxmlformats.org/spreadsheetml/2006/main" xmlns:r="http://schemas.openxmlformats.org/officeDocument/2006/relationships">
  <dimension ref="A1:V38"/>
  <sheetViews>
    <sheetView showGridLines="0" workbookViewId="0">
      <selection sqref="A1:T1"/>
    </sheetView>
  </sheetViews>
  <sheetFormatPr defaultRowHeight="15"/>
  <cols>
    <col min="1" max="1" width="9.140625" style="309"/>
    <col min="2" max="2" width="1" style="309" customWidth="1"/>
    <col min="3" max="6" width="7" style="309" customWidth="1"/>
    <col min="7" max="12" width="6.5703125" style="309" customWidth="1"/>
    <col min="13" max="18" width="7.5703125" style="309" customWidth="1"/>
    <col min="19" max="20" width="6.7109375" style="309" customWidth="1"/>
    <col min="21" max="16384" width="9.140625" style="309"/>
  </cols>
  <sheetData>
    <row r="1" spans="1:22" ht="16.5" customHeight="1">
      <c r="A1" s="429" t="s">
        <v>432</v>
      </c>
      <c r="B1" s="429"/>
      <c r="C1" s="429"/>
      <c r="D1" s="429"/>
      <c r="E1" s="429"/>
      <c r="F1" s="429"/>
      <c r="G1" s="429"/>
      <c r="H1" s="429"/>
      <c r="I1" s="429"/>
      <c r="J1" s="429"/>
      <c r="K1" s="429"/>
      <c r="L1" s="429"/>
      <c r="M1" s="429"/>
      <c r="N1" s="429"/>
      <c r="O1" s="429"/>
      <c r="P1" s="429"/>
      <c r="Q1" s="429"/>
      <c r="R1" s="429"/>
      <c r="S1" s="429"/>
      <c r="T1" s="429"/>
      <c r="U1" s="307"/>
      <c r="V1" s="308"/>
    </row>
    <row r="2" spans="1:22" ht="3.75" customHeight="1" thickBot="1">
      <c r="A2" s="427" t="s">
        <v>347</v>
      </c>
      <c r="B2" s="310"/>
      <c r="C2" s="310"/>
      <c r="D2" s="310"/>
      <c r="E2" s="310"/>
      <c r="F2" s="310"/>
      <c r="G2" s="310"/>
      <c r="H2" s="310"/>
      <c r="I2" s="311"/>
      <c r="J2" s="311"/>
      <c r="K2" s="311"/>
      <c r="L2" s="311"/>
      <c r="M2" s="310"/>
      <c r="N2" s="310"/>
      <c r="O2" s="310"/>
      <c r="P2" s="310"/>
      <c r="Q2" s="310"/>
      <c r="R2" s="310"/>
      <c r="S2" s="310"/>
      <c r="T2" s="310"/>
      <c r="U2" s="310"/>
      <c r="V2" s="308"/>
    </row>
    <row r="3" spans="1:22">
      <c r="A3" s="427"/>
      <c r="B3" s="310"/>
      <c r="C3" s="312"/>
      <c r="D3" s="313" t="s">
        <v>348</v>
      </c>
      <c r="E3" s="314" t="s">
        <v>349</v>
      </c>
      <c r="F3" s="314" t="s">
        <v>350</v>
      </c>
      <c r="G3" s="314" t="s">
        <v>351</v>
      </c>
      <c r="H3" s="314" t="s">
        <v>195</v>
      </c>
      <c r="I3" s="314" t="s">
        <v>196</v>
      </c>
      <c r="J3" s="314" t="s">
        <v>352</v>
      </c>
      <c r="K3" s="314" t="s">
        <v>353</v>
      </c>
      <c r="L3" s="314" t="s">
        <v>354</v>
      </c>
      <c r="M3" s="314" t="s">
        <v>355</v>
      </c>
      <c r="N3" s="314" t="s">
        <v>356</v>
      </c>
      <c r="O3" s="314" t="s">
        <v>357</v>
      </c>
      <c r="P3" s="314" t="s">
        <v>32</v>
      </c>
      <c r="Q3" s="314" t="s">
        <v>358</v>
      </c>
      <c r="R3" s="315" t="s">
        <v>359</v>
      </c>
      <c r="S3" s="316"/>
      <c r="T3" s="316"/>
      <c r="U3" s="317"/>
      <c r="V3" s="308"/>
    </row>
    <row r="4" spans="1:22" ht="15.75" thickBot="1">
      <c r="A4" s="427"/>
      <c r="B4" s="310"/>
      <c r="C4" s="312"/>
      <c r="D4" s="318">
        <f ca="1">IF(sim="","",sim)</f>
        <v>16</v>
      </c>
      <c r="E4" s="319">
        <f ca="1">IF(VOC="","",VOC)</f>
        <v>11</v>
      </c>
      <c r="F4" s="319">
        <f ca="1">IF(IN="","",IN)</f>
        <v>12</v>
      </c>
      <c r="G4" s="319">
        <f ca="1">IF(COMP="","",COMP)</f>
        <v>12</v>
      </c>
      <c r="H4" s="319">
        <f ca="1">IF(bd="","",bd)</f>
        <v>10</v>
      </c>
      <c r="I4" s="319">
        <f ca="1">IF(MR="","",MR)</f>
        <v>16</v>
      </c>
      <c r="J4" s="319">
        <f ca="1">IF(VP="","",VP)</f>
        <v>9</v>
      </c>
      <c r="K4" s="319">
        <f ca="1">IF(FW="","",FW)</f>
        <v>16</v>
      </c>
      <c r="L4" s="319">
        <f ca="1">IF(PCm="","",PCm)</f>
        <v>10</v>
      </c>
      <c r="M4" s="319">
        <f ca="1">IF(DS="","",DS)</f>
        <v>12</v>
      </c>
      <c r="N4" s="319">
        <f ca="1">IF(AR="","",AR)</f>
        <v>16</v>
      </c>
      <c r="O4" s="319">
        <f ca="1">IF(lns="","",lns)</f>
        <v>11</v>
      </c>
      <c r="P4" s="319">
        <f ca="1">IF(SS="","",SS)</f>
        <v>10</v>
      </c>
      <c r="Q4" s="319">
        <f ca="1">IF(CD="","",CD)</f>
        <v>5</v>
      </c>
      <c r="R4" s="320">
        <f ca="1">IF(CA="","",CA)</f>
        <v>7</v>
      </c>
      <c r="S4" s="316"/>
      <c r="T4" s="316"/>
      <c r="U4" s="317"/>
      <c r="V4" s="308"/>
    </row>
    <row r="5" spans="1:22" ht="15" customHeight="1" thickBot="1">
      <c r="A5" s="427"/>
      <c r="B5" s="310"/>
      <c r="C5" s="321"/>
      <c r="D5" s="425" t="s">
        <v>360</v>
      </c>
      <c r="E5" s="425"/>
      <c r="F5" s="425"/>
      <c r="G5" s="425"/>
      <c r="H5" s="425"/>
      <c r="I5" s="425"/>
      <c r="J5" s="425"/>
      <c r="K5" s="425"/>
      <c r="L5" s="425"/>
      <c r="M5" s="425"/>
      <c r="N5" s="425"/>
      <c r="O5" s="425"/>
      <c r="P5" s="425"/>
      <c r="Q5" s="425"/>
      <c r="R5" s="425"/>
      <c r="S5" s="321"/>
      <c r="T5" s="321"/>
      <c r="U5" s="317"/>
      <c r="V5" s="308"/>
    </row>
    <row r="6" spans="1:22" ht="3" customHeight="1" thickTop="1" thickBot="1">
      <c r="B6" s="310"/>
      <c r="C6" s="322"/>
      <c r="D6" s="322"/>
      <c r="E6" s="322"/>
      <c r="F6" s="322"/>
      <c r="G6" s="322"/>
      <c r="H6" s="322"/>
      <c r="I6" s="322"/>
      <c r="J6" s="322"/>
      <c r="K6" s="322"/>
      <c r="L6" s="322"/>
      <c r="M6" s="312"/>
      <c r="N6" s="322"/>
      <c r="O6" s="323"/>
      <c r="P6" s="322"/>
      <c r="Q6" s="322"/>
      <c r="R6" s="322"/>
      <c r="S6" s="322"/>
      <c r="T6" s="322"/>
      <c r="U6" s="317"/>
      <c r="V6" s="308"/>
    </row>
    <row r="7" spans="1:22" ht="15" customHeight="1">
      <c r="A7" s="427" t="s">
        <v>361</v>
      </c>
      <c r="B7" s="324"/>
      <c r="C7" s="313" t="s">
        <v>348</v>
      </c>
      <c r="D7" s="314" t="s">
        <v>349</v>
      </c>
      <c r="E7" s="314" t="s">
        <v>350</v>
      </c>
      <c r="F7" s="314" t="s">
        <v>351</v>
      </c>
      <c r="G7" s="314" t="s">
        <v>355</v>
      </c>
      <c r="H7" s="314" t="s">
        <v>356</v>
      </c>
      <c r="I7" s="314" t="s">
        <v>362</v>
      </c>
      <c r="J7" s="315" t="s">
        <v>354</v>
      </c>
      <c r="K7" s="316"/>
      <c r="L7" s="313" t="s">
        <v>354</v>
      </c>
      <c r="M7" s="314" t="s">
        <v>195</v>
      </c>
      <c r="N7" s="314" t="s">
        <v>196</v>
      </c>
      <c r="O7" s="314" t="s">
        <v>297</v>
      </c>
      <c r="P7" s="314" t="s">
        <v>353</v>
      </c>
      <c r="Q7" s="314" t="s">
        <v>32</v>
      </c>
      <c r="R7" s="314" t="s">
        <v>358</v>
      </c>
      <c r="S7" s="315" t="s">
        <v>359</v>
      </c>
      <c r="T7" s="325"/>
      <c r="U7" s="326"/>
      <c r="V7" s="308"/>
    </row>
    <row r="8" spans="1:22" ht="12.75" customHeight="1" thickBot="1">
      <c r="A8" s="427"/>
      <c r="B8" s="324"/>
      <c r="C8" s="318">
        <f ca="1">IF(sim="","",sim)</f>
        <v>16</v>
      </c>
      <c r="D8" s="319">
        <f ca="1">IF(VOC="","",VOC)</f>
        <v>11</v>
      </c>
      <c r="E8" s="319">
        <f ca="1">IF(IN="","",IN)</f>
        <v>12</v>
      </c>
      <c r="F8" s="319">
        <f ca="1">IF(COMP="","",COMP)</f>
        <v>12</v>
      </c>
      <c r="G8" s="319">
        <f ca="1">IF(DS="","",DS)</f>
        <v>12</v>
      </c>
      <c r="H8" s="319">
        <f ca="1">IF(AR="","",AR)</f>
        <v>16</v>
      </c>
      <c r="I8" s="319">
        <f ca="1">IF(lns="","",lns)</f>
        <v>11</v>
      </c>
      <c r="J8" s="320">
        <f ca="1">IF(PCm="","",PCm)</f>
        <v>10</v>
      </c>
      <c r="K8" s="316"/>
      <c r="L8" s="318">
        <f ca="1">IF(PCm="","",PCm)</f>
        <v>10</v>
      </c>
      <c r="M8" s="319">
        <f ca="1">IF(bd="","",bd)</f>
        <v>10</v>
      </c>
      <c r="N8" s="319">
        <f ca="1">IF(MR="","",MR)</f>
        <v>16</v>
      </c>
      <c r="O8" s="319">
        <f ca="1">IF(VP="","",VP)</f>
        <v>9</v>
      </c>
      <c r="P8" s="319">
        <f ca="1">IF(FW="","",FW)</f>
        <v>16</v>
      </c>
      <c r="Q8" s="319">
        <f ca="1">IF(SS="","",SS)</f>
        <v>10</v>
      </c>
      <c r="R8" s="319">
        <f ca="1">IF(CD="","",CD)</f>
        <v>5</v>
      </c>
      <c r="S8" s="320">
        <f ca="1">IF(CA="","",CA)</f>
        <v>7</v>
      </c>
      <c r="T8" s="325"/>
      <c r="U8" s="326"/>
      <c r="V8" s="308"/>
    </row>
    <row r="9" spans="1:22" ht="15.75" customHeight="1" thickBot="1">
      <c r="A9" s="427"/>
      <c r="B9" s="310"/>
      <c r="C9" s="425" t="s">
        <v>14</v>
      </c>
      <c r="D9" s="425"/>
      <c r="E9" s="425"/>
      <c r="F9" s="425"/>
      <c r="G9" s="425"/>
      <c r="H9" s="425"/>
      <c r="I9" s="425"/>
      <c r="J9" s="425"/>
      <c r="K9" s="321"/>
      <c r="L9" s="425" t="s">
        <v>363</v>
      </c>
      <c r="M9" s="425"/>
      <c r="N9" s="425"/>
      <c r="O9" s="425"/>
      <c r="P9" s="425"/>
      <c r="Q9" s="425"/>
      <c r="R9" s="425"/>
      <c r="S9" s="425"/>
      <c r="T9" s="321"/>
      <c r="U9" s="317"/>
      <c r="V9" s="308"/>
    </row>
    <row r="10" spans="1:22" ht="3.75" customHeight="1" thickTop="1" thickBot="1">
      <c r="B10" s="310"/>
      <c r="C10" s="312"/>
      <c r="D10" s="312"/>
      <c r="E10" s="312"/>
      <c r="F10" s="312"/>
      <c r="G10" s="312"/>
      <c r="H10" s="327"/>
      <c r="I10" s="428"/>
      <c r="J10" s="428"/>
      <c r="K10" s="428"/>
      <c r="L10" s="428"/>
      <c r="M10" s="312"/>
      <c r="N10" s="312"/>
      <c r="O10" s="327"/>
      <c r="P10" s="322"/>
      <c r="Q10" s="322"/>
      <c r="R10" s="322"/>
      <c r="S10" s="323"/>
      <c r="T10" s="322"/>
      <c r="U10" s="317"/>
      <c r="V10" s="308"/>
    </row>
    <row r="11" spans="1:22" ht="18" customHeight="1">
      <c r="A11" s="427" t="s">
        <v>364</v>
      </c>
      <c r="B11" s="310"/>
      <c r="C11" s="313" t="s">
        <v>348</v>
      </c>
      <c r="D11" s="314" t="s">
        <v>349</v>
      </c>
      <c r="E11" s="314" t="s">
        <v>350</v>
      </c>
      <c r="F11" s="314" t="s">
        <v>351</v>
      </c>
      <c r="G11" s="314" t="s">
        <v>195</v>
      </c>
      <c r="H11" s="314" t="s">
        <v>196</v>
      </c>
      <c r="I11" s="314" t="s">
        <v>297</v>
      </c>
      <c r="J11" s="314" t="s">
        <v>353</v>
      </c>
      <c r="K11" s="315" t="s">
        <v>354</v>
      </c>
      <c r="L11" s="316"/>
      <c r="M11" s="313" t="s">
        <v>355</v>
      </c>
      <c r="N11" s="314" t="s">
        <v>356</v>
      </c>
      <c r="O11" s="314" t="s">
        <v>357</v>
      </c>
      <c r="P11" s="314" t="s">
        <v>32</v>
      </c>
      <c r="Q11" s="314" t="s">
        <v>358</v>
      </c>
      <c r="R11" s="315" t="s">
        <v>359</v>
      </c>
      <c r="S11" s="316"/>
      <c r="T11" s="316"/>
      <c r="U11" s="317"/>
      <c r="V11" s="308"/>
    </row>
    <row r="12" spans="1:22" ht="14.25" customHeight="1" thickBot="1">
      <c r="A12" s="427"/>
      <c r="B12" s="310"/>
      <c r="C12" s="318">
        <f ca="1">IF(sim="","",sim)</f>
        <v>16</v>
      </c>
      <c r="D12" s="319">
        <f ca="1">IF(VOC="","",VOC)</f>
        <v>11</v>
      </c>
      <c r="E12" s="319">
        <f ca="1">IF(IN="","",IN)</f>
        <v>12</v>
      </c>
      <c r="F12" s="319">
        <f ca="1">IF(COMP="","",COMP)</f>
        <v>12</v>
      </c>
      <c r="G12" s="319">
        <f ca="1">IF(CA="","",CA)</f>
        <v>7</v>
      </c>
      <c r="H12" s="319">
        <f ca="1">IF(MR="","",MR)</f>
        <v>16</v>
      </c>
      <c r="I12" s="319">
        <f ca="1">IF(VP="","",VP)</f>
        <v>9</v>
      </c>
      <c r="J12" s="319">
        <f ca="1">IF(FW="","",FW)</f>
        <v>16</v>
      </c>
      <c r="K12" s="320">
        <f ca="1">IF(PCm="","",PCm)</f>
        <v>10</v>
      </c>
      <c r="L12" s="316"/>
      <c r="M12" s="318">
        <f ca="1">IF(DS="","",DS)</f>
        <v>12</v>
      </c>
      <c r="N12" s="319">
        <f ca="1">IF(AR="","",AR)</f>
        <v>16</v>
      </c>
      <c r="O12" s="319">
        <f ca="1">IF(lns="","",lns)</f>
        <v>11</v>
      </c>
      <c r="P12" s="319">
        <f ca="1">IF(SS="","",SS)</f>
        <v>10</v>
      </c>
      <c r="Q12" s="319">
        <f ca="1">IF(CD="","",CD)</f>
        <v>5</v>
      </c>
      <c r="R12" s="320">
        <f ca="1">IF(CA="","",CA)</f>
        <v>7</v>
      </c>
      <c r="S12" s="316"/>
      <c r="T12" s="316"/>
      <c r="U12" s="317"/>
      <c r="V12" s="308"/>
    </row>
    <row r="13" spans="1:22" ht="15" customHeight="1">
      <c r="A13" s="427"/>
      <c r="B13" s="310"/>
      <c r="C13" s="430" t="s">
        <v>391</v>
      </c>
      <c r="D13" s="430"/>
      <c r="E13" s="430"/>
      <c r="F13" s="430"/>
      <c r="G13" s="430"/>
      <c r="H13" s="430"/>
      <c r="I13" s="430"/>
      <c r="J13" s="430"/>
      <c r="K13" s="430"/>
      <c r="L13" s="328"/>
      <c r="M13" s="421" t="s">
        <v>392</v>
      </c>
      <c r="N13" s="421"/>
      <c r="O13" s="421"/>
      <c r="P13" s="421"/>
      <c r="Q13" s="421"/>
      <c r="R13" s="421"/>
      <c r="S13" s="316"/>
      <c r="T13" s="323"/>
      <c r="U13" s="317"/>
      <c r="V13" s="308"/>
    </row>
    <row r="14" spans="1:22" ht="4.5" customHeight="1" thickBot="1">
      <c r="B14" s="310"/>
      <c r="C14" s="322"/>
      <c r="D14" s="322"/>
      <c r="E14" s="322"/>
      <c r="F14" s="322"/>
      <c r="G14" s="322"/>
      <c r="H14" s="323"/>
      <c r="I14" s="428"/>
      <c r="J14" s="428"/>
      <c r="K14" s="428"/>
      <c r="L14" s="428"/>
      <c r="M14" s="322"/>
      <c r="N14" s="322"/>
      <c r="O14" s="323"/>
      <c r="P14" s="322"/>
      <c r="Q14" s="322"/>
      <c r="R14" s="322"/>
      <c r="S14" s="323"/>
      <c r="T14" s="322"/>
      <c r="U14" s="317"/>
      <c r="V14" s="308"/>
    </row>
    <row r="15" spans="1:22" ht="18" customHeight="1">
      <c r="A15" s="427" t="s">
        <v>365</v>
      </c>
      <c r="B15" s="324"/>
      <c r="C15" s="313" t="s">
        <v>348</v>
      </c>
      <c r="D15" s="314" t="s">
        <v>349</v>
      </c>
      <c r="E15" s="314" t="s">
        <v>350</v>
      </c>
      <c r="F15" s="315" t="s">
        <v>351</v>
      </c>
      <c r="G15" s="329"/>
      <c r="H15" s="313" t="s">
        <v>195</v>
      </c>
      <c r="I15" s="314" t="s">
        <v>196</v>
      </c>
      <c r="J15" s="314" t="s">
        <v>297</v>
      </c>
      <c r="K15" s="314" t="s">
        <v>353</v>
      </c>
      <c r="L15" s="315" t="s">
        <v>354</v>
      </c>
      <c r="M15" s="316"/>
      <c r="N15" s="313" t="s">
        <v>355</v>
      </c>
      <c r="O15" s="314" t="s">
        <v>356</v>
      </c>
      <c r="P15" s="315" t="s">
        <v>357</v>
      </c>
      <c r="Q15" s="316"/>
      <c r="R15" s="313" t="s">
        <v>32</v>
      </c>
      <c r="S15" s="314" t="s">
        <v>358</v>
      </c>
      <c r="T15" s="315" t="s">
        <v>359</v>
      </c>
      <c r="U15" s="317"/>
      <c r="V15" s="308"/>
    </row>
    <row r="16" spans="1:22" ht="12" customHeight="1" thickBot="1">
      <c r="A16" s="427"/>
      <c r="B16" s="324"/>
      <c r="C16" s="318">
        <f ca="1">IF(sim="","",sim)</f>
        <v>16</v>
      </c>
      <c r="D16" s="319">
        <f ca="1">IF(VOC="","",VOC)</f>
        <v>11</v>
      </c>
      <c r="E16" s="319">
        <f ca="1">IF(IN="","",IN)</f>
        <v>12</v>
      </c>
      <c r="F16" s="320">
        <f ca="1">IF(COMP="","",COMP)</f>
        <v>12</v>
      </c>
      <c r="G16" s="329"/>
      <c r="H16" s="318">
        <f ca="1">IF(bd="","",bd)</f>
        <v>10</v>
      </c>
      <c r="I16" s="319">
        <f ca="1">IF(sim="","",sim)</f>
        <v>16</v>
      </c>
      <c r="J16" s="319">
        <f ca="1">IF(VP="","",VP)</f>
        <v>9</v>
      </c>
      <c r="K16" s="319">
        <f ca="1">IF(FW="","",FW)</f>
        <v>16</v>
      </c>
      <c r="L16" s="320">
        <f ca="1">IF(PCm="","",PCm)</f>
        <v>10</v>
      </c>
      <c r="M16" s="316"/>
      <c r="N16" s="318">
        <f ca="1">IF(DS="","",DS)</f>
        <v>12</v>
      </c>
      <c r="O16" s="319">
        <f ca="1">IF(AR="","",AR)</f>
        <v>16</v>
      </c>
      <c r="P16" s="320">
        <f ca="1">IF(lns="","",lns)</f>
        <v>11</v>
      </c>
      <c r="Q16" s="316"/>
      <c r="R16" s="318">
        <f ca="1">IF(SS="","",SS)</f>
        <v>10</v>
      </c>
      <c r="S16" s="319">
        <f ca="1">IF(CD="","",CD)</f>
        <v>5</v>
      </c>
      <c r="T16" s="320">
        <f ca="1">IF(CA="","",CA)</f>
        <v>7</v>
      </c>
      <c r="U16" s="317"/>
      <c r="V16" s="308"/>
    </row>
    <row r="17" spans="1:22" s="333" customFormat="1" ht="14.25" customHeight="1">
      <c r="A17" s="427"/>
      <c r="B17" s="330"/>
      <c r="C17" s="421" t="s">
        <v>152</v>
      </c>
      <c r="D17" s="421"/>
      <c r="E17" s="421"/>
      <c r="F17" s="421"/>
      <c r="G17" s="323"/>
      <c r="H17" s="421" t="s">
        <v>366</v>
      </c>
      <c r="I17" s="421"/>
      <c r="J17" s="421"/>
      <c r="K17" s="421"/>
      <c r="L17" s="421"/>
      <c r="M17" s="323"/>
      <c r="N17" s="421" t="s">
        <v>153</v>
      </c>
      <c r="O17" s="421"/>
      <c r="P17" s="421"/>
      <c r="Q17" s="316"/>
      <c r="R17" s="421" t="s">
        <v>28</v>
      </c>
      <c r="S17" s="421"/>
      <c r="T17" s="421"/>
      <c r="U17" s="331"/>
      <c r="V17" s="332"/>
    </row>
    <row r="18" spans="1:22" ht="5.25" customHeight="1" thickBot="1">
      <c r="A18" s="334"/>
      <c r="B18" s="310"/>
      <c r="C18" s="321"/>
      <c r="D18" s="321"/>
      <c r="E18" s="321"/>
      <c r="F18" s="321"/>
      <c r="G18" s="321"/>
      <c r="H18" s="321"/>
      <c r="I18" s="425"/>
      <c r="J18" s="425"/>
      <c r="K18" s="425"/>
      <c r="L18" s="425"/>
      <c r="M18" s="321"/>
      <c r="N18" s="321"/>
      <c r="O18" s="321"/>
      <c r="P18" s="321"/>
      <c r="Q18" s="321"/>
      <c r="R18" s="321"/>
      <c r="S18" s="321"/>
      <c r="T18" s="321"/>
      <c r="U18" s="317"/>
      <c r="V18" s="308"/>
    </row>
    <row r="19" spans="1:22" ht="3.75" customHeight="1" thickTop="1" thickBot="1">
      <c r="A19" s="427" t="s">
        <v>367</v>
      </c>
      <c r="B19" s="310"/>
      <c r="C19" s="323"/>
      <c r="D19" s="323"/>
      <c r="E19" s="323"/>
      <c r="F19" s="323"/>
      <c r="G19" s="323"/>
      <c r="H19" s="323"/>
      <c r="I19" s="421"/>
      <c r="J19" s="421"/>
      <c r="K19" s="421"/>
      <c r="L19" s="421"/>
      <c r="M19" s="323"/>
      <c r="N19" s="323"/>
      <c r="O19" s="323"/>
      <c r="P19" s="323"/>
      <c r="Q19" s="323"/>
      <c r="R19" s="323"/>
      <c r="S19" s="323"/>
      <c r="T19" s="323"/>
      <c r="U19" s="317"/>
      <c r="V19" s="308"/>
    </row>
    <row r="20" spans="1:22">
      <c r="A20" s="427"/>
      <c r="B20" s="335"/>
      <c r="C20" s="313" t="s">
        <v>348</v>
      </c>
      <c r="D20" s="315" t="s">
        <v>349</v>
      </c>
      <c r="E20" s="329"/>
      <c r="F20" s="313" t="s">
        <v>390</v>
      </c>
      <c r="G20" s="315" t="s">
        <v>368</v>
      </c>
      <c r="H20" s="329"/>
      <c r="I20" s="313" t="s">
        <v>350</v>
      </c>
      <c r="J20" s="314" t="s">
        <v>356</v>
      </c>
      <c r="K20" s="315" t="s">
        <v>369</v>
      </c>
      <c r="L20" s="316"/>
      <c r="M20" s="313" t="s">
        <v>353</v>
      </c>
      <c r="N20" s="315" t="s">
        <v>370</v>
      </c>
      <c r="O20" s="316"/>
      <c r="P20" s="313" t="s">
        <v>195</v>
      </c>
      <c r="Q20" s="314" t="s">
        <v>196</v>
      </c>
      <c r="R20" s="315" t="s">
        <v>297</v>
      </c>
      <c r="S20" s="329"/>
      <c r="T20" s="336"/>
      <c r="U20" s="310"/>
      <c r="V20" s="308"/>
    </row>
    <row r="21" spans="1:22" ht="15.75" thickBot="1">
      <c r="A21" s="427"/>
      <c r="B21" s="335"/>
      <c r="C21" s="318">
        <f ca="1">IF(sim="","",sim)</f>
        <v>16</v>
      </c>
      <c r="D21" s="320">
        <f ca="1">IF(VOC="","",VOC)</f>
        <v>11</v>
      </c>
      <c r="E21" s="329"/>
      <c r="F21" s="318">
        <f ca="1">IF(IN="","",IN)</f>
        <v>12</v>
      </c>
      <c r="G21" s="320">
        <f ca="1">IF(COMP="","",COMP)</f>
        <v>12</v>
      </c>
      <c r="H21" s="329"/>
      <c r="I21" s="318">
        <f ca="1">IF(IN="","",IN)</f>
        <v>12</v>
      </c>
      <c r="J21" s="319">
        <f ca="1">IF(AR="","",AR)</f>
        <v>16</v>
      </c>
      <c r="K21" s="320">
        <f ca="1">IF(VOC="","",VOC)</f>
        <v>11</v>
      </c>
      <c r="L21" s="316"/>
      <c r="M21" s="318">
        <f ca="1">IF(FW="","",FW)</f>
        <v>16</v>
      </c>
      <c r="N21" s="320">
        <f ca="1">IF(PCm="","",PCm)</f>
        <v>10</v>
      </c>
      <c r="O21" s="316"/>
      <c r="P21" s="318">
        <f ca="1">IF(bd="","",bd)</f>
        <v>10</v>
      </c>
      <c r="Q21" s="319">
        <f ca="1">IF(MR="","",MR)</f>
        <v>16</v>
      </c>
      <c r="R21" s="320">
        <f ca="1">IF(VP="","",VP)</f>
        <v>9</v>
      </c>
      <c r="S21" s="329"/>
      <c r="T21" s="336"/>
      <c r="U21" s="310"/>
      <c r="V21" s="308"/>
    </row>
    <row r="22" spans="1:22" ht="47.25" customHeight="1">
      <c r="A22" s="427"/>
      <c r="B22" s="310"/>
      <c r="C22" s="421" t="s">
        <v>371</v>
      </c>
      <c r="D22" s="421"/>
      <c r="E22" s="323"/>
      <c r="F22" s="421" t="s">
        <v>372</v>
      </c>
      <c r="G22" s="421"/>
      <c r="H22" s="323"/>
      <c r="I22" s="421" t="s">
        <v>373</v>
      </c>
      <c r="J22" s="421"/>
      <c r="K22" s="421"/>
      <c r="L22" s="316"/>
      <c r="M22" s="421" t="s">
        <v>374</v>
      </c>
      <c r="N22" s="421"/>
      <c r="O22" s="316"/>
      <c r="P22" s="421" t="s">
        <v>375</v>
      </c>
      <c r="Q22" s="421"/>
      <c r="R22" s="421"/>
      <c r="S22" s="336"/>
      <c r="T22" s="328"/>
      <c r="U22" s="310"/>
      <c r="V22" s="308"/>
    </row>
    <row r="23" spans="1:22" ht="3.75" customHeight="1" thickBot="1">
      <c r="A23" s="427"/>
      <c r="B23" s="310"/>
      <c r="C23" s="323"/>
      <c r="D23" s="323"/>
      <c r="E23" s="323"/>
      <c r="F23" s="323"/>
      <c r="G23" s="323"/>
      <c r="H23" s="323"/>
      <c r="I23" s="323"/>
      <c r="J23" s="323"/>
      <c r="K23" s="323"/>
      <c r="L23" s="323"/>
      <c r="M23" s="323"/>
      <c r="N23" s="323"/>
      <c r="O23" s="323"/>
      <c r="P23" s="323"/>
      <c r="Q23" s="323"/>
      <c r="R23" s="323"/>
      <c r="S23" s="323"/>
      <c r="T23" s="323"/>
      <c r="U23" s="317"/>
      <c r="V23" s="308"/>
    </row>
    <row r="24" spans="1:22">
      <c r="A24" s="427"/>
      <c r="B24" s="310"/>
      <c r="C24" s="313" t="s">
        <v>348</v>
      </c>
      <c r="D24" s="315" t="s">
        <v>368</v>
      </c>
      <c r="E24" s="329"/>
      <c r="F24" s="313" t="s">
        <v>349</v>
      </c>
      <c r="G24" s="315" t="s">
        <v>350</v>
      </c>
      <c r="H24" s="316"/>
      <c r="I24" s="313" t="s">
        <v>348</v>
      </c>
      <c r="J24" s="314" t="s">
        <v>349</v>
      </c>
      <c r="K24" s="315" t="s">
        <v>350</v>
      </c>
      <c r="L24" s="329"/>
      <c r="M24" s="313" t="s">
        <v>368</v>
      </c>
      <c r="N24" s="315" t="s">
        <v>356</v>
      </c>
      <c r="O24" s="336"/>
      <c r="P24" s="337" t="s">
        <v>348</v>
      </c>
      <c r="Q24" s="338" t="s">
        <v>196</v>
      </c>
      <c r="R24" s="338" t="s">
        <v>376</v>
      </c>
      <c r="S24" s="314" t="s">
        <v>32</v>
      </c>
      <c r="T24" s="315" t="s">
        <v>377</v>
      </c>
      <c r="U24" s="310"/>
      <c r="V24" s="308"/>
    </row>
    <row r="25" spans="1:22" ht="15.75" thickBot="1">
      <c r="A25" s="427"/>
      <c r="B25" s="310"/>
      <c r="C25" s="318">
        <f ca="1">IF(sim="","",sim)</f>
        <v>16</v>
      </c>
      <c r="D25" s="320">
        <f ca="1">IF(COMP="","",COMP)</f>
        <v>12</v>
      </c>
      <c r="E25" s="329"/>
      <c r="F25" s="318">
        <f ca="1">IF(VOC="","",VOC)</f>
        <v>11</v>
      </c>
      <c r="G25" s="320">
        <f ca="1">IF(IN="","",IN)</f>
        <v>12</v>
      </c>
      <c r="H25" s="316"/>
      <c r="I25" s="318">
        <f ca="1">IF(sim="","",sim)</f>
        <v>16</v>
      </c>
      <c r="J25" s="319">
        <f ca="1">IF(VOC="","",VOC)</f>
        <v>11</v>
      </c>
      <c r="K25" s="320">
        <f ca="1">IF(IN="","",IN)</f>
        <v>12</v>
      </c>
      <c r="L25" s="329"/>
      <c r="M25" s="318">
        <f ca="1">IF(COMP="","",COMP)</f>
        <v>12</v>
      </c>
      <c r="N25" s="320">
        <f ca="1">IF(AR="","",AR)</f>
        <v>16</v>
      </c>
      <c r="O25" s="336"/>
      <c r="P25" s="318">
        <f ca="1">IF(sim="","",sim)</f>
        <v>16</v>
      </c>
      <c r="Q25" s="319">
        <f ca="1">IF(sim="","",sim)</f>
        <v>16</v>
      </c>
      <c r="R25" s="319">
        <f ca="1">IF(FW="","",FW)</f>
        <v>16</v>
      </c>
      <c r="S25" s="319">
        <f ca="1">IF(SS="","",SS)</f>
        <v>10</v>
      </c>
      <c r="T25" s="320">
        <f ca="1">IF(CA="","",CA)</f>
        <v>7</v>
      </c>
      <c r="U25" s="310"/>
      <c r="V25" s="308"/>
    </row>
    <row r="26" spans="1:22" ht="45" customHeight="1">
      <c r="A26" s="427"/>
      <c r="B26" s="310"/>
      <c r="C26" s="421" t="s">
        <v>394</v>
      </c>
      <c r="D26" s="421"/>
      <c r="E26" s="323"/>
      <c r="F26" s="421" t="s">
        <v>395</v>
      </c>
      <c r="G26" s="421"/>
      <c r="H26" s="316"/>
      <c r="I26" s="421" t="s">
        <v>396</v>
      </c>
      <c r="J26" s="421"/>
      <c r="K26" s="421"/>
      <c r="L26" s="323"/>
      <c r="M26" s="421" t="s">
        <v>397</v>
      </c>
      <c r="N26" s="421"/>
      <c r="O26" s="328"/>
      <c r="P26" s="424" t="s">
        <v>378</v>
      </c>
      <c r="Q26" s="424"/>
      <c r="R26" s="424"/>
      <c r="S26" s="424"/>
      <c r="T26" s="424"/>
      <c r="U26" s="339"/>
      <c r="V26" s="308"/>
    </row>
    <row r="27" spans="1:22" ht="6" customHeight="1" thickBot="1">
      <c r="A27" s="427"/>
      <c r="B27" s="310"/>
      <c r="C27" s="323"/>
      <c r="D27" s="323"/>
      <c r="E27" s="323"/>
      <c r="F27" s="323"/>
      <c r="G27" s="323"/>
      <c r="H27" s="323"/>
      <c r="I27" s="421"/>
      <c r="J27" s="421"/>
      <c r="K27" s="323"/>
      <c r="L27" s="323"/>
      <c r="M27" s="323"/>
      <c r="N27" s="323"/>
      <c r="O27" s="322"/>
      <c r="P27" s="322"/>
      <c r="Q27" s="322"/>
      <c r="R27" s="322"/>
      <c r="S27" s="322"/>
      <c r="T27" s="322"/>
      <c r="U27" s="317"/>
      <c r="V27" s="308"/>
    </row>
    <row r="28" spans="1:22" ht="10.5" customHeight="1">
      <c r="A28" s="427"/>
      <c r="B28" s="310"/>
      <c r="C28" s="313" t="s">
        <v>348</v>
      </c>
      <c r="D28" s="314" t="s">
        <v>349</v>
      </c>
      <c r="E28" s="314" t="s">
        <v>350</v>
      </c>
      <c r="F28" s="315" t="s">
        <v>356</v>
      </c>
      <c r="G28" s="316"/>
      <c r="H28" s="313" t="s">
        <v>349</v>
      </c>
      <c r="I28" s="315" t="s">
        <v>368</v>
      </c>
      <c r="J28" s="316"/>
      <c r="K28" s="340" t="s">
        <v>379</v>
      </c>
      <c r="L28" s="316"/>
      <c r="M28" s="313" t="s">
        <v>380</v>
      </c>
      <c r="N28" s="314" t="s">
        <v>381</v>
      </c>
      <c r="O28" s="314" t="s">
        <v>362</v>
      </c>
      <c r="P28" s="315" t="s">
        <v>382</v>
      </c>
      <c r="Q28" s="316"/>
      <c r="R28" s="340" t="s">
        <v>377</v>
      </c>
      <c r="T28" s="316"/>
      <c r="U28" s="317"/>
      <c r="V28" s="308"/>
    </row>
    <row r="29" spans="1:22" ht="13.5" customHeight="1" thickBot="1">
      <c r="A29" s="427"/>
      <c r="B29" s="310"/>
      <c r="C29" s="318">
        <f ca="1">IF(sim="","",sim)</f>
        <v>16</v>
      </c>
      <c r="D29" s="319">
        <f ca="1">IF(VOC="","",VOC)</f>
        <v>11</v>
      </c>
      <c r="E29" s="319">
        <f ca="1">IF(IN="","",IN)</f>
        <v>12</v>
      </c>
      <c r="F29" s="320">
        <f ca="1">IF(AR="","",AR)</f>
        <v>16</v>
      </c>
      <c r="G29" s="316"/>
      <c r="H29" s="318">
        <f ca="1">IF(VOC="","",VOC)</f>
        <v>11</v>
      </c>
      <c r="I29" s="320">
        <f ca="1">IF(COMP="","",COMP)</f>
        <v>12</v>
      </c>
      <c r="J29" s="316"/>
      <c r="K29" s="341">
        <f ca="1">IF(dsf="","",dsf)</f>
        <v>18</v>
      </c>
      <c r="L29" s="316"/>
      <c r="M29" s="318">
        <f ca="1">IF(dsb="","",dsb)</f>
        <v>17</v>
      </c>
      <c r="N29" s="319">
        <f ca="1">IF(dssq="","",dssq)</f>
        <v>13</v>
      </c>
      <c r="O29" s="319">
        <f ca="1">IF(lns="","",lns)</f>
        <v>11</v>
      </c>
      <c r="P29" s="320">
        <f ca="1">IF(AR="","",AR)</f>
        <v>16</v>
      </c>
      <c r="Q29" s="316"/>
      <c r="R29" s="341">
        <f ca="1">IF(CA="","",CA)</f>
        <v>7</v>
      </c>
      <c r="T29" s="316"/>
      <c r="U29" s="317"/>
      <c r="V29" s="308"/>
    </row>
    <row r="30" spans="1:22" ht="36.75" customHeight="1">
      <c r="A30" s="427"/>
      <c r="B30" s="310"/>
      <c r="C30" s="421" t="s">
        <v>398</v>
      </c>
      <c r="D30" s="421"/>
      <c r="E30" s="421"/>
      <c r="F30" s="421"/>
      <c r="G30" s="323"/>
      <c r="H30" s="421" t="s">
        <v>399</v>
      </c>
      <c r="I30" s="421"/>
      <c r="J30" s="316"/>
      <c r="K30" s="420" t="s">
        <v>250</v>
      </c>
      <c r="L30" s="420"/>
      <c r="M30" s="421" t="s">
        <v>153</v>
      </c>
      <c r="N30" s="421"/>
      <c r="O30" s="421"/>
      <c r="P30" s="421"/>
      <c r="Q30" s="316"/>
      <c r="R30" s="328" t="s">
        <v>400</v>
      </c>
      <c r="S30" s="328"/>
      <c r="T30" s="328"/>
      <c r="U30" s="317"/>
      <c r="V30" s="308"/>
    </row>
    <row r="31" spans="1:22" ht="5.25" customHeight="1" thickBot="1">
      <c r="A31" s="427"/>
      <c r="B31" s="310"/>
      <c r="C31" s="323"/>
      <c r="D31" s="323"/>
      <c r="E31" s="323"/>
      <c r="F31" s="323"/>
      <c r="G31" s="323"/>
      <c r="H31" s="323"/>
      <c r="I31" s="323"/>
      <c r="J31" s="323"/>
      <c r="K31" s="323"/>
      <c r="L31" s="323"/>
      <c r="M31" s="323"/>
      <c r="N31" s="323"/>
      <c r="O31" s="323"/>
      <c r="P31" s="323"/>
      <c r="Q31" s="322"/>
      <c r="R31" s="322"/>
      <c r="S31" s="322"/>
      <c r="T31" s="322"/>
      <c r="U31" s="317"/>
      <c r="V31" s="308"/>
    </row>
    <row r="32" spans="1:22" ht="11.25" customHeight="1">
      <c r="A32" s="427"/>
      <c r="B32" s="310"/>
      <c r="C32" s="340" t="s">
        <v>195</v>
      </c>
      <c r="D32" s="322"/>
      <c r="E32" s="340" t="s">
        <v>196</v>
      </c>
      <c r="F32" s="322"/>
      <c r="G32" s="313" t="s">
        <v>383</v>
      </c>
      <c r="H32" s="342" t="s">
        <v>297</v>
      </c>
      <c r="I32" s="342" t="s">
        <v>376</v>
      </c>
      <c r="J32" s="342" t="s">
        <v>370</v>
      </c>
      <c r="K32" s="314" t="s">
        <v>356</v>
      </c>
      <c r="L32" s="314" t="s">
        <v>32</v>
      </c>
      <c r="M32" s="314" t="s">
        <v>358</v>
      </c>
      <c r="N32" s="343" t="s">
        <v>377</v>
      </c>
      <c r="O32" s="316"/>
      <c r="P32" s="316"/>
      <c r="Q32" s="316"/>
      <c r="R32" s="316"/>
      <c r="S32" s="316"/>
      <c r="T32" s="316"/>
      <c r="U32" s="317"/>
      <c r="V32" s="308"/>
    </row>
    <row r="33" spans="1:22" ht="13.5" customHeight="1" thickBot="1">
      <c r="A33" s="427"/>
      <c r="B33" s="310"/>
      <c r="C33" s="341">
        <f ca="1">IF(CA="","",CA)</f>
        <v>7</v>
      </c>
      <c r="D33" s="322"/>
      <c r="E33" s="341">
        <f ca="1">IF(MR="","",MR)</f>
        <v>16</v>
      </c>
      <c r="F33" s="322"/>
      <c r="G33" s="318">
        <f ca="1">IF(bdnt="","",bdnt)</f>
        <v>14</v>
      </c>
      <c r="H33" s="319">
        <f ca="1">IF(VP="","",VP)</f>
        <v>9</v>
      </c>
      <c r="I33" s="319">
        <f ca="1">IF(FW="","",FW)</f>
        <v>16</v>
      </c>
      <c r="J33" s="319">
        <f ca="1">IF(PCm="","",PCm)</f>
        <v>10</v>
      </c>
      <c r="K33" s="319">
        <f ca="1">IF(AR="","",AR)</f>
        <v>16</v>
      </c>
      <c r="L33" s="319">
        <f ca="1">IF(SS="","",SS)</f>
        <v>10</v>
      </c>
      <c r="M33" s="319">
        <f ca="1">IF(CD="","",CD)</f>
        <v>5</v>
      </c>
      <c r="N33" s="320">
        <f ca="1">IF(CA="","",CA)</f>
        <v>7</v>
      </c>
      <c r="O33" s="316"/>
      <c r="P33" s="316"/>
      <c r="Q33" s="316"/>
      <c r="R33" s="316"/>
      <c r="S33" s="316"/>
      <c r="T33" s="316"/>
      <c r="U33" s="317"/>
      <c r="V33" s="308"/>
    </row>
    <row r="34" spans="1:22" ht="15.75" customHeight="1">
      <c r="A34" s="427"/>
      <c r="B34" s="420" t="s">
        <v>401</v>
      </c>
      <c r="C34" s="420"/>
      <c r="D34" s="420"/>
      <c r="E34" s="420" t="s">
        <v>384</v>
      </c>
      <c r="F34" s="420"/>
      <c r="G34" s="421" t="s">
        <v>385</v>
      </c>
      <c r="H34" s="421"/>
      <c r="I34" s="421"/>
      <c r="J34" s="421"/>
      <c r="K34" s="421"/>
      <c r="L34" s="421"/>
      <c r="M34" s="421"/>
      <c r="N34" s="421"/>
      <c r="O34" s="316"/>
      <c r="P34" s="316"/>
      <c r="Q34" s="316"/>
      <c r="R34" s="316"/>
      <c r="S34" s="316"/>
      <c r="T34" s="316"/>
      <c r="U34" s="317"/>
      <c r="V34" s="308"/>
    </row>
    <row r="35" spans="1:22" ht="4.5" customHeight="1" thickBot="1">
      <c r="A35" s="427"/>
      <c r="B35" s="310"/>
      <c r="C35" s="312"/>
      <c r="D35" s="312"/>
      <c r="E35" s="312"/>
      <c r="F35" s="312"/>
      <c r="G35" s="312"/>
      <c r="H35" s="327"/>
      <c r="I35" s="421"/>
      <c r="J35" s="421"/>
      <c r="K35" s="426"/>
      <c r="L35" s="426"/>
      <c r="M35" s="327"/>
      <c r="N35" s="327"/>
      <c r="O35" s="327"/>
      <c r="P35" s="327"/>
      <c r="Q35" s="327"/>
      <c r="R35" s="327"/>
      <c r="S35" s="327"/>
      <c r="T35" s="327"/>
      <c r="U35" s="317"/>
      <c r="V35" s="308"/>
    </row>
    <row r="36" spans="1:22" ht="15.75" customHeight="1">
      <c r="A36" s="427"/>
      <c r="B36" s="310"/>
      <c r="C36" s="422" t="s">
        <v>386</v>
      </c>
      <c r="D36" s="423"/>
      <c r="E36" s="322"/>
      <c r="F36" s="422" t="s">
        <v>387</v>
      </c>
      <c r="G36" s="423"/>
      <c r="H36" s="329"/>
      <c r="I36" s="422" t="s">
        <v>388</v>
      </c>
      <c r="J36" s="423"/>
      <c r="K36" s="329"/>
      <c r="L36" s="422" t="s">
        <v>389</v>
      </c>
      <c r="M36" s="423"/>
      <c r="N36" s="329"/>
      <c r="O36" s="329"/>
      <c r="P36" s="329"/>
      <c r="Q36" s="316"/>
      <c r="R36" s="329"/>
      <c r="S36" s="329"/>
      <c r="T36" s="312"/>
      <c r="U36" s="317"/>
      <c r="V36" s="308"/>
    </row>
    <row r="37" spans="1:22" ht="12" customHeight="1" thickBot="1">
      <c r="A37" s="427"/>
      <c r="B37" s="310"/>
      <c r="C37" s="318">
        <f ca="1">IF(CA="","",CA)</f>
        <v>7</v>
      </c>
      <c r="D37" s="320">
        <f ca="1">IF(bdnt="","",bdnt)</f>
        <v>14</v>
      </c>
      <c r="E37" s="322"/>
      <c r="F37" s="318">
        <f ca="1">IF(dsf="","",dsf)</f>
        <v>18</v>
      </c>
      <c r="G37" s="320">
        <f ca="1">IF(dsb="","",dsb)</f>
        <v>17</v>
      </c>
      <c r="H37" s="329"/>
      <c r="I37" s="318">
        <f ca="1">IF(dsf="","",dsf)</f>
        <v>18</v>
      </c>
      <c r="J37" s="320">
        <f ca="1">IF(dssq="","",dssq)</f>
        <v>13</v>
      </c>
      <c r="K37" s="329"/>
      <c r="L37" s="318">
        <f ca="1">IF(dsb="","",dsb)</f>
        <v>17</v>
      </c>
      <c r="M37" s="320">
        <f ca="1">IF(dssq="","",dssq)</f>
        <v>13</v>
      </c>
      <c r="N37" s="329"/>
      <c r="O37" s="329"/>
      <c r="P37" s="329"/>
      <c r="Q37" s="316"/>
      <c r="R37" s="329"/>
      <c r="S37" s="329"/>
      <c r="T37" s="312"/>
      <c r="U37" s="317"/>
      <c r="V37" s="308"/>
    </row>
    <row r="38" spans="1:22" ht="15" customHeight="1">
      <c r="A38" s="427"/>
      <c r="B38" s="310"/>
      <c r="C38" s="426" t="s">
        <v>393</v>
      </c>
      <c r="D38" s="426"/>
      <c r="E38" s="426"/>
      <c r="F38" s="426"/>
      <c r="G38" s="426"/>
      <c r="H38" s="426"/>
      <c r="I38" s="426"/>
      <c r="J38" s="426"/>
      <c r="K38" s="426"/>
      <c r="L38" s="426"/>
      <c r="M38" s="426"/>
      <c r="N38" s="327"/>
      <c r="O38" s="327"/>
      <c r="P38" s="327"/>
      <c r="Q38" s="327"/>
      <c r="R38" s="327"/>
      <c r="S38" s="327"/>
      <c r="T38" s="312"/>
      <c r="U38" s="317"/>
      <c r="V38" s="308"/>
    </row>
  </sheetData>
  <sheetProtection password="8D61" sheet="1" objects="1" scenarios="1" selectLockedCells="1" selectUnlockedCells="1"/>
  <mergeCells count="48">
    <mergeCell ref="M13:R13"/>
    <mergeCell ref="I14:J14"/>
    <mergeCell ref="K14:L14"/>
    <mergeCell ref="C13:K13"/>
    <mergeCell ref="A1:T1"/>
    <mergeCell ref="A2:A5"/>
    <mergeCell ref="D5:R5"/>
    <mergeCell ref="A7:A9"/>
    <mergeCell ref="C9:J9"/>
    <mergeCell ref="L9:S9"/>
    <mergeCell ref="I10:J10"/>
    <mergeCell ref="K10:L10"/>
    <mergeCell ref="A11:A13"/>
    <mergeCell ref="A15:A17"/>
    <mergeCell ref="C17:F17"/>
    <mergeCell ref="H17:L17"/>
    <mergeCell ref="N17:P17"/>
    <mergeCell ref="R17:T17"/>
    <mergeCell ref="A19:A38"/>
    <mergeCell ref="I19:J19"/>
    <mergeCell ref="K19:L19"/>
    <mergeCell ref="C22:D22"/>
    <mergeCell ref="F22:G22"/>
    <mergeCell ref="I22:K22"/>
    <mergeCell ref="I27:J27"/>
    <mergeCell ref="C30:F30"/>
    <mergeCell ref="I18:J18"/>
    <mergeCell ref="K18:L18"/>
    <mergeCell ref="C38:M38"/>
    <mergeCell ref="M22:N22"/>
    <mergeCell ref="C36:D36"/>
    <mergeCell ref="K30:L30"/>
    <mergeCell ref="M30:P30"/>
    <mergeCell ref="G34:N34"/>
    <mergeCell ref="I35:J35"/>
    <mergeCell ref="K35:L35"/>
    <mergeCell ref="P22:R22"/>
    <mergeCell ref="C26:D26"/>
    <mergeCell ref="F26:G26"/>
    <mergeCell ref="I26:K26"/>
    <mergeCell ref="M26:N26"/>
    <mergeCell ref="P26:T26"/>
    <mergeCell ref="B34:D34"/>
    <mergeCell ref="E34:F34"/>
    <mergeCell ref="H30:I30"/>
    <mergeCell ref="F36:G36"/>
    <mergeCell ref="I36:J36"/>
    <mergeCell ref="L36:M36"/>
  </mergeCells>
  <phoneticPr fontId="4" type="noConversion"/>
  <pageMargins left="0.7" right="0.7" top="0.75" bottom="0.75" header="0.3" footer="0.3"/>
  <pageSetup orientation="landscape" r:id="rId1"/>
  <headerFooter>
    <oddHeader>&amp;C&amp;16DUMONT/WILLIS WAIS-IV Computer Template</oddHeader>
    <oddFooter>&amp;LWAIS-IV © The Psychological Corporation All rights reserved &amp;RPage &amp;P  WAIS-IV Template © Dumont - Willis 2008</oddFooter>
  </headerFooter>
</worksheet>
</file>

<file path=xl/worksheets/sheet6.xml><?xml version="1.0" encoding="utf-8"?>
<worksheet xmlns="http://schemas.openxmlformats.org/spreadsheetml/2006/main" xmlns:r="http://schemas.openxmlformats.org/officeDocument/2006/relationships">
  <sheetPr codeName="Sheet5" enableFormatConditionsCalculation="0">
    <tabColor indexed="26"/>
    <pageSetUpPr autoPageBreaks="0"/>
  </sheetPr>
  <dimension ref="A2:R46"/>
  <sheetViews>
    <sheetView showGridLines="0" zoomScaleNormal="100" workbookViewId="0">
      <selection activeCell="G39" sqref="G39"/>
    </sheetView>
  </sheetViews>
  <sheetFormatPr defaultRowHeight="12"/>
  <cols>
    <col min="1" max="1" width="1.42578125" customWidth="1"/>
    <col min="2" max="2" width="1.28515625" customWidth="1"/>
    <col min="3" max="3" width="5" customWidth="1"/>
    <col min="4" max="4" width="4.42578125" customWidth="1"/>
    <col min="5" max="5" width="20.7109375" customWidth="1"/>
    <col min="6" max="6" width="6" customWidth="1"/>
    <col min="7" max="7" width="19.28515625" customWidth="1"/>
    <col min="8" max="8" width="5.7109375" customWidth="1"/>
    <col min="9" max="9" width="22.85546875" customWidth="1"/>
    <col min="10" max="10" width="5.140625" customWidth="1"/>
    <col min="11" max="11" width="13.42578125" customWidth="1"/>
    <col min="12" max="12" width="6.42578125" style="182" customWidth="1"/>
    <col min="13" max="17" width="6.42578125" style="183" hidden="1" customWidth="1"/>
    <col min="18" max="18" width="0" style="183" hidden="1" customWidth="1"/>
  </cols>
  <sheetData>
    <row r="2" spans="1:16" ht="18.75">
      <c r="E2" s="438" t="s">
        <v>449</v>
      </c>
      <c r="F2" s="438"/>
      <c r="G2" s="438"/>
      <c r="H2" s="438"/>
      <c r="I2" s="438"/>
      <c r="J2" s="438"/>
    </row>
    <row r="4" spans="1:16" ht="24.75" customHeight="1">
      <c r="A4" s="7"/>
      <c r="B4" s="7"/>
      <c r="C4" s="94"/>
      <c r="D4" s="94"/>
      <c r="E4" s="439" t="s">
        <v>270</v>
      </c>
      <c r="F4" s="440"/>
      <c r="G4" s="440"/>
      <c r="H4" s="440"/>
      <c r="I4" s="440"/>
      <c r="J4" s="441"/>
      <c r="K4" s="125"/>
      <c r="L4" s="188"/>
    </row>
    <row r="5" spans="1:16" ht="17.25" customHeight="1">
      <c r="A5" s="7"/>
      <c r="B5" s="7"/>
      <c r="C5" s="94"/>
      <c r="D5" s="94"/>
      <c r="E5" s="444" t="s">
        <v>273</v>
      </c>
      <c r="F5" s="445"/>
      <c r="G5" s="444" t="s">
        <v>272</v>
      </c>
      <c r="H5" s="445"/>
      <c r="I5" s="444" t="s">
        <v>271</v>
      </c>
      <c r="J5" s="445"/>
      <c r="K5" s="139"/>
      <c r="L5" s="189"/>
    </row>
    <row r="6" spans="1:16" ht="5.25" customHeight="1">
      <c r="A6" s="8"/>
      <c r="B6" s="7"/>
      <c r="C6" s="446" t="s">
        <v>274</v>
      </c>
      <c r="D6" s="447" t="s">
        <v>273</v>
      </c>
      <c r="E6" s="103"/>
      <c r="F6" s="128"/>
      <c r="G6" s="95"/>
      <c r="H6" s="97"/>
      <c r="I6" s="101"/>
      <c r="J6" s="96"/>
      <c r="K6" s="125"/>
      <c r="L6" s="188"/>
      <c r="M6" s="183">
        <f>IF(J8="",0,J8)</f>
        <v>10</v>
      </c>
      <c r="N6" s="183">
        <f>IF(J8="","",1)</f>
        <v>1</v>
      </c>
    </row>
    <row r="7" spans="1:16" ht="18.75" customHeight="1">
      <c r="A7" s="8"/>
      <c r="B7" s="7"/>
      <c r="C7" s="431"/>
      <c r="D7" s="448"/>
      <c r="E7" s="110" t="s">
        <v>10</v>
      </c>
      <c r="F7" s="172">
        <f ca="1">IF(sim="","",sim)</f>
        <v>16</v>
      </c>
      <c r="G7" s="106"/>
      <c r="H7" s="107"/>
      <c r="I7" s="131"/>
      <c r="J7" s="195"/>
      <c r="K7" s="135" t="s">
        <v>285</v>
      </c>
      <c r="L7" s="188"/>
      <c r="M7" s="183">
        <f>IF(F7="",0,F7)</f>
        <v>16</v>
      </c>
      <c r="N7" s="183">
        <f>IF(F7="","",1)</f>
        <v>1</v>
      </c>
    </row>
    <row r="8" spans="1:16" ht="18.75" customHeight="1">
      <c r="A8" s="8"/>
      <c r="B8" s="7"/>
      <c r="C8" s="431"/>
      <c r="D8" s="448"/>
      <c r="E8" s="110" t="s">
        <v>9</v>
      </c>
      <c r="F8" s="172">
        <f ca="1">IF(VOC="","",VOC)</f>
        <v>11</v>
      </c>
      <c r="G8" s="110"/>
      <c r="H8" s="107"/>
      <c r="I8" s="433" t="s">
        <v>5</v>
      </c>
      <c r="J8" s="435">
        <f ca="1">IF(PCm="","",PCm)</f>
        <v>10</v>
      </c>
      <c r="K8" s="141" t="s">
        <v>275</v>
      </c>
      <c r="L8" s="190">
        <f>O10/P10</f>
        <v>12</v>
      </c>
      <c r="M8" s="183">
        <f>IF(F8="",0,F8)</f>
        <v>11</v>
      </c>
      <c r="N8" s="183">
        <f>IF(F8="","",1)</f>
        <v>1</v>
      </c>
    </row>
    <row r="9" spans="1:16" ht="18.75" customHeight="1">
      <c r="A9" s="8"/>
      <c r="B9" s="7"/>
      <c r="C9" s="431"/>
      <c r="D9" s="448"/>
      <c r="E9" s="110" t="s">
        <v>17</v>
      </c>
      <c r="F9" s="172">
        <f ca="1">IF(COMP="","",COMP)</f>
        <v>12</v>
      </c>
      <c r="G9" s="110"/>
      <c r="H9" s="172"/>
      <c r="I9" s="433"/>
      <c r="J9" s="435"/>
      <c r="K9" s="141" t="s">
        <v>284</v>
      </c>
      <c r="L9" s="191">
        <f>15*(L8-10)/3+100</f>
        <v>110</v>
      </c>
      <c r="M9" s="183">
        <f>IF(F9="",0,F9)</f>
        <v>12</v>
      </c>
      <c r="N9" s="183">
        <f>IF(F9="","",1)</f>
        <v>1</v>
      </c>
    </row>
    <row r="10" spans="1:16" ht="21.75" customHeight="1">
      <c r="A10" s="8"/>
      <c r="B10" s="7"/>
      <c r="C10" s="431"/>
      <c r="D10" s="448"/>
      <c r="E10" s="110" t="s">
        <v>15</v>
      </c>
      <c r="F10" s="172">
        <f>F18</f>
        <v>11</v>
      </c>
      <c r="G10" s="110"/>
      <c r="H10" s="172"/>
      <c r="I10" s="105"/>
      <c r="J10" s="109"/>
      <c r="K10" s="1"/>
      <c r="M10" s="183">
        <f>IF(F10="",0,F10)</f>
        <v>11</v>
      </c>
      <c r="N10" s="183">
        <f>IF(F10="","",1)</f>
        <v>1</v>
      </c>
      <c r="O10" s="183">
        <f>SUM(M6:M10)</f>
        <v>60</v>
      </c>
      <c r="P10" s="183">
        <f>SUM(N6:N10)</f>
        <v>5</v>
      </c>
    </row>
    <row r="11" spans="1:16" ht="9.75" customHeight="1">
      <c r="A11" s="8"/>
      <c r="B11" s="7"/>
      <c r="C11" s="431"/>
      <c r="D11" s="446" t="s">
        <v>272</v>
      </c>
      <c r="E11" s="115"/>
      <c r="F11" s="116"/>
      <c r="G11" s="117"/>
      <c r="H11" s="118"/>
      <c r="I11" s="108"/>
      <c r="J11" s="119"/>
      <c r="K11" s="1"/>
      <c r="L11" s="192"/>
    </row>
    <row r="12" spans="1:16" ht="18.75" customHeight="1">
      <c r="A12" s="8"/>
      <c r="B12" s="7"/>
      <c r="C12" s="431"/>
      <c r="D12" s="431"/>
      <c r="E12" s="110"/>
      <c r="F12" s="111"/>
      <c r="G12" s="131"/>
      <c r="H12" s="196"/>
      <c r="I12" s="197"/>
      <c r="J12" s="195"/>
      <c r="K12" s="135" t="s">
        <v>286</v>
      </c>
      <c r="L12" s="192"/>
    </row>
    <row r="13" spans="1:16" ht="18.75" customHeight="1">
      <c r="A13" s="8"/>
      <c r="B13" s="7"/>
      <c r="C13" s="431"/>
      <c r="D13" s="431"/>
      <c r="E13" s="110"/>
      <c r="F13" s="111"/>
      <c r="G13" s="433" t="s">
        <v>167</v>
      </c>
      <c r="H13" s="434">
        <f ca="1">IF(AR="","",AR)</f>
        <v>16</v>
      </c>
      <c r="I13" s="197"/>
      <c r="J13" s="195"/>
      <c r="K13" s="141" t="s">
        <v>275</v>
      </c>
      <c r="L13" s="190">
        <f>M13/N13</f>
        <v>16</v>
      </c>
      <c r="M13" s="183">
        <f>IF(H13="",0,H13)</f>
        <v>16</v>
      </c>
      <c r="N13" s="183">
        <f>IF(H13="","",1)</f>
        <v>1</v>
      </c>
    </row>
    <row r="14" spans="1:16" ht="18" customHeight="1">
      <c r="A14" s="8"/>
      <c r="B14" s="7"/>
      <c r="C14" s="431"/>
      <c r="D14" s="431"/>
      <c r="E14" s="110"/>
      <c r="F14" s="111"/>
      <c r="G14" s="433"/>
      <c r="H14" s="434"/>
      <c r="I14" s="197"/>
      <c r="J14" s="195"/>
      <c r="K14" s="141" t="s">
        <v>284</v>
      </c>
      <c r="L14" s="191">
        <f>15*(L13-10)/3+100</f>
        <v>130</v>
      </c>
    </row>
    <row r="15" spans="1:16" ht="9" customHeight="1">
      <c r="A15" s="8"/>
      <c r="B15" s="7"/>
      <c r="C15" s="431"/>
      <c r="D15" s="432"/>
      <c r="E15" s="112"/>
      <c r="F15" s="113"/>
      <c r="G15" s="120"/>
      <c r="H15" s="120"/>
      <c r="I15" s="114"/>
      <c r="J15" s="113"/>
      <c r="K15" s="1"/>
      <c r="L15" s="192"/>
    </row>
    <row r="16" spans="1:16" ht="9.75" customHeight="1">
      <c r="A16" s="8"/>
      <c r="B16" s="7"/>
      <c r="C16" s="431"/>
      <c r="D16" s="198"/>
      <c r="E16" s="131"/>
      <c r="F16" s="122"/>
      <c r="G16" s="121"/>
      <c r="H16" s="119"/>
      <c r="I16" s="108"/>
      <c r="J16" s="119"/>
      <c r="K16" s="1"/>
      <c r="L16" s="192"/>
    </row>
    <row r="17" spans="1:18" ht="18.75" customHeight="1">
      <c r="A17" s="7"/>
      <c r="B17" s="7"/>
      <c r="C17" s="431"/>
      <c r="D17" s="431" t="s">
        <v>271</v>
      </c>
      <c r="E17" s="131"/>
      <c r="F17" s="131"/>
      <c r="G17" s="110" t="s">
        <v>11</v>
      </c>
      <c r="H17" s="172">
        <f ca="1">IF(bd="","",bd)</f>
        <v>10</v>
      </c>
      <c r="I17" s="110" t="s">
        <v>13</v>
      </c>
      <c r="J17" s="172">
        <f ca="1">IF(MR="","",MR)</f>
        <v>16</v>
      </c>
      <c r="K17" s="135" t="s">
        <v>287</v>
      </c>
      <c r="L17" s="192"/>
      <c r="M17" s="183">
        <f>IF(H17="",0,H17)</f>
        <v>10</v>
      </c>
      <c r="N17" s="183">
        <f>IF(H17="","",1)</f>
        <v>1</v>
      </c>
    </row>
    <row r="18" spans="1:18" ht="18.75" customHeight="1">
      <c r="A18" s="7"/>
      <c r="B18" s="7"/>
      <c r="C18" s="431"/>
      <c r="D18" s="431"/>
      <c r="E18" s="437" t="s">
        <v>276</v>
      </c>
      <c r="F18" s="435">
        <f ca="1">IF(lns="","",lns)</f>
        <v>11</v>
      </c>
      <c r="G18" s="110" t="s">
        <v>165</v>
      </c>
      <c r="H18" s="172">
        <f ca="1">IF(DS="","",DS)</f>
        <v>12</v>
      </c>
      <c r="I18" s="110" t="s">
        <v>311</v>
      </c>
      <c r="J18" s="172">
        <f ca="1">IF(VP="","",VP)</f>
        <v>9</v>
      </c>
      <c r="K18" s="98" t="s">
        <v>275</v>
      </c>
      <c r="L18" s="190">
        <f>O25/P25</f>
        <v>10.666666666666666</v>
      </c>
      <c r="M18" s="183">
        <f>IF(H18="",0,H18)</f>
        <v>12</v>
      </c>
      <c r="N18" s="183">
        <f>IF(H18="","",1)</f>
        <v>1</v>
      </c>
    </row>
    <row r="19" spans="1:18" ht="18.75" customHeight="1">
      <c r="A19" s="7"/>
      <c r="B19" s="7"/>
      <c r="C19" s="431"/>
      <c r="D19" s="431"/>
      <c r="E19" s="437"/>
      <c r="F19" s="435"/>
      <c r="G19" s="110" t="s">
        <v>18</v>
      </c>
      <c r="H19" s="172">
        <f ca="1">IF(SS="","",SS)</f>
        <v>10</v>
      </c>
      <c r="I19" s="110" t="s">
        <v>312</v>
      </c>
      <c r="J19" s="172">
        <f ca="1">IF(FW="","",FW)</f>
        <v>16</v>
      </c>
      <c r="K19" s="141" t="s">
        <v>284</v>
      </c>
      <c r="L19" s="191">
        <f>15*(L18-10)/3+100</f>
        <v>103.33333333333333</v>
      </c>
      <c r="M19" s="183">
        <f>IF(H19="",0,H19)</f>
        <v>10</v>
      </c>
      <c r="N19" s="183">
        <f>IF(H19="","",1)</f>
        <v>1</v>
      </c>
    </row>
    <row r="20" spans="1:18" ht="18.75" customHeight="1">
      <c r="A20" s="7"/>
      <c r="B20" s="7"/>
      <c r="C20" s="431"/>
      <c r="D20" s="431"/>
      <c r="E20" s="171"/>
      <c r="F20" s="109"/>
      <c r="G20" s="110" t="s">
        <v>112</v>
      </c>
      <c r="H20" s="172">
        <f ca="1">IF(CD="","",CD)</f>
        <v>5</v>
      </c>
      <c r="I20" s="110" t="s">
        <v>168</v>
      </c>
      <c r="J20" s="172">
        <f ca="1">IF(CA="","",CA)</f>
        <v>7</v>
      </c>
      <c r="K20" s="129"/>
      <c r="L20" s="193"/>
      <c r="M20" s="183">
        <f>IF(H20="",0,H20)</f>
        <v>5</v>
      </c>
      <c r="N20" s="183">
        <f>IF(H20="","",1)</f>
        <v>1</v>
      </c>
    </row>
    <row r="21" spans="1:18" ht="10.5" customHeight="1">
      <c r="A21" s="7"/>
      <c r="B21" s="7"/>
      <c r="C21" s="432"/>
      <c r="D21" s="432"/>
      <c r="E21" s="104"/>
      <c r="F21" s="102"/>
      <c r="G21" s="99"/>
      <c r="H21" s="130"/>
      <c r="I21" s="99"/>
      <c r="J21" s="100"/>
      <c r="K21" s="126"/>
      <c r="L21" s="194"/>
      <c r="M21" s="183">
        <f>IF(F18="",0,F18)</f>
        <v>11</v>
      </c>
      <c r="N21" s="183">
        <f>IF(F18="","",1)</f>
        <v>1</v>
      </c>
    </row>
    <row r="22" spans="1:18" ht="18.75" customHeight="1">
      <c r="A22" s="7"/>
      <c r="B22" s="7"/>
      <c r="C22" s="140"/>
      <c r="D22" s="125"/>
      <c r="E22" s="436" t="s">
        <v>288</v>
      </c>
      <c r="F22" s="436"/>
      <c r="G22" s="436" t="s">
        <v>289</v>
      </c>
      <c r="H22" s="436"/>
      <c r="I22" s="436" t="s">
        <v>290</v>
      </c>
      <c r="J22" s="436"/>
      <c r="K22" s="139"/>
      <c r="L22" s="189"/>
      <c r="M22" s="183">
        <f>IF(J17="",0,J17)</f>
        <v>16</v>
      </c>
      <c r="N22" s="183">
        <f>IF(J17="","",1)</f>
        <v>1</v>
      </c>
    </row>
    <row r="23" spans="1:18" ht="12.75">
      <c r="A23" s="7"/>
      <c r="B23" s="7"/>
      <c r="C23" s="125"/>
      <c r="D23" s="125"/>
      <c r="E23" s="141" t="s">
        <v>275</v>
      </c>
      <c r="F23" s="142">
        <f>F35/G35</f>
        <v>12.2</v>
      </c>
      <c r="G23" s="141" t="s">
        <v>275</v>
      </c>
      <c r="H23" s="142">
        <f>H35/I35</f>
        <v>10.6</v>
      </c>
      <c r="I23" s="141" t="s">
        <v>275</v>
      </c>
      <c r="J23" s="142">
        <f>J35/K35</f>
        <v>11.6</v>
      </c>
      <c r="K23" s="125"/>
      <c r="L23" s="188"/>
      <c r="M23" s="183">
        <f>IF(J18="",0,J18)</f>
        <v>9</v>
      </c>
      <c r="N23" s="183">
        <f>IF(J18="","",1)</f>
        <v>1</v>
      </c>
    </row>
    <row r="24" spans="1:18" ht="12.75">
      <c r="A24" s="7"/>
      <c r="B24" s="7"/>
      <c r="C24" s="125"/>
      <c r="D24" s="125"/>
      <c r="E24" s="141" t="s">
        <v>284</v>
      </c>
      <c r="F24" s="138">
        <f>15*(F23-10)/3+100</f>
        <v>111</v>
      </c>
      <c r="G24" s="141" t="s">
        <v>284</v>
      </c>
      <c r="H24" s="138">
        <f>15*(H23-10)/3+100</f>
        <v>103</v>
      </c>
      <c r="I24" s="141" t="s">
        <v>284</v>
      </c>
      <c r="J24" s="138">
        <f>15*(J23-10)/3+100</f>
        <v>108</v>
      </c>
      <c r="K24" s="125"/>
      <c r="L24" s="188"/>
      <c r="M24" s="183">
        <f>IF(J19="",0,J19)</f>
        <v>16</v>
      </c>
      <c r="N24" s="183">
        <f>IF(J19="","",1)</f>
        <v>1</v>
      </c>
    </row>
    <row r="25" spans="1:18" ht="12.75">
      <c r="A25" s="7"/>
      <c r="B25" s="7"/>
      <c r="C25" s="125"/>
      <c r="D25" s="125"/>
      <c r="E25" s="136"/>
      <c r="F25" s="137"/>
      <c r="G25" s="136"/>
      <c r="H25" s="137"/>
      <c r="I25" s="136"/>
      <c r="J25" s="137"/>
      <c r="K25" s="127"/>
      <c r="L25" s="194"/>
      <c r="M25" s="183">
        <f>IF(J20="",0,J20)</f>
        <v>7</v>
      </c>
      <c r="N25" s="183">
        <f>IF(J20="","",1)</f>
        <v>1</v>
      </c>
      <c r="O25" s="184">
        <f>SUM(M17:M25)</f>
        <v>96</v>
      </c>
      <c r="P25" s="184">
        <f>SUM(N17:N25)</f>
        <v>9</v>
      </c>
    </row>
    <row r="26" spans="1:18" s="124" customFormat="1" ht="24.75" customHeight="1">
      <c r="A26" s="123"/>
      <c r="B26" s="123"/>
      <c r="C26" s="442" t="s">
        <v>448</v>
      </c>
      <c r="D26" s="442"/>
      <c r="E26" s="442"/>
      <c r="F26" s="442"/>
      <c r="G26" s="442"/>
      <c r="H26" s="442"/>
      <c r="I26" s="442"/>
      <c r="J26" s="442"/>
      <c r="K26" s="442"/>
      <c r="L26" s="442"/>
      <c r="M26" s="185"/>
      <c r="N26" s="185"/>
      <c r="O26" s="185"/>
      <c r="P26" s="185"/>
      <c r="Q26" s="185"/>
      <c r="R26" s="185"/>
    </row>
    <row r="27" spans="1:18" s="124" customFormat="1" ht="24.75" customHeight="1">
      <c r="A27" s="123"/>
      <c r="B27" s="123"/>
      <c r="C27" s="443"/>
      <c r="D27" s="443"/>
      <c r="E27" s="443"/>
      <c r="F27" s="443"/>
      <c r="G27" s="443"/>
      <c r="H27" s="443"/>
      <c r="I27" s="443"/>
      <c r="J27" s="443"/>
      <c r="K27" s="443"/>
      <c r="L27" s="443"/>
      <c r="M27" s="185"/>
      <c r="N27" s="185"/>
      <c r="O27" s="185"/>
      <c r="P27" s="185"/>
      <c r="Q27" s="185"/>
      <c r="R27" s="185"/>
    </row>
    <row r="28" spans="1:18" s="182" customFormat="1" ht="16.5" customHeight="1">
      <c r="A28" s="186"/>
      <c r="B28" s="186"/>
      <c r="M28" s="183"/>
      <c r="N28" s="183"/>
      <c r="O28" s="183"/>
      <c r="P28" s="183"/>
      <c r="Q28" s="183"/>
      <c r="R28" s="183"/>
    </row>
    <row r="29" spans="1:18" s="183" customFormat="1" ht="16.5" hidden="1" customHeight="1">
      <c r="A29" s="187"/>
      <c r="B29" s="187"/>
      <c r="F29" s="183">
        <f>IF(F7="",0,F7)</f>
        <v>16</v>
      </c>
      <c r="G29" s="183">
        <f>IF(F7="","",1)</f>
        <v>1</v>
      </c>
      <c r="J29" s="183">
        <f>IF(J8="",0,J8)</f>
        <v>10</v>
      </c>
      <c r="K29" s="183">
        <f>IF(J8="","",1)</f>
        <v>1</v>
      </c>
    </row>
    <row r="30" spans="1:18" s="183" customFormat="1" ht="16.5" hidden="1" customHeight="1">
      <c r="A30" s="187"/>
      <c r="B30" s="187"/>
      <c r="F30" s="183">
        <f>IF(F8="",0,F8)</f>
        <v>11</v>
      </c>
      <c r="G30" s="183">
        <f>IF(F8="","",1)</f>
        <v>1</v>
      </c>
      <c r="H30" s="183">
        <f>IF(H13="",0,H13)</f>
        <v>16</v>
      </c>
      <c r="I30" s="183">
        <f>IF(H13="","",1)</f>
        <v>1</v>
      </c>
      <c r="J30" s="183">
        <f>IF(J17="",0,J17)</f>
        <v>16</v>
      </c>
      <c r="K30" s="183">
        <f>IF(J17="","",1)</f>
        <v>1</v>
      </c>
    </row>
    <row r="31" spans="1:18" s="183" customFormat="1" ht="16.5" hidden="1" customHeight="1">
      <c r="A31" s="187"/>
      <c r="B31" s="187"/>
      <c r="F31" s="183">
        <f>IF(F9="",0,F9)</f>
        <v>12</v>
      </c>
      <c r="G31" s="183">
        <f>IF(F9="","",1)</f>
        <v>1</v>
      </c>
      <c r="H31" s="183">
        <f>IF(H17="",0,H17)</f>
        <v>10</v>
      </c>
      <c r="I31" s="183">
        <f>IF(H17="","",1)</f>
        <v>1</v>
      </c>
      <c r="J31" s="183">
        <f>IF(J18="",0,J18)</f>
        <v>9</v>
      </c>
      <c r="K31" s="183">
        <f>IF(J18="","",1)</f>
        <v>1</v>
      </c>
    </row>
    <row r="32" spans="1:18" s="183" customFormat="1" ht="16.5" hidden="1" customHeight="1">
      <c r="A32" s="187"/>
      <c r="B32" s="187"/>
      <c r="F32" s="183">
        <f>IF(F10="",0,F10)</f>
        <v>11</v>
      </c>
      <c r="G32" s="183">
        <f>IF(F10="","",1)</f>
        <v>1</v>
      </c>
      <c r="H32" s="183">
        <f>IF(H18="",0,H18)</f>
        <v>12</v>
      </c>
      <c r="I32" s="183">
        <f>IF(H18="","",1)</f>
        <v>1</v>
      </c>
      <c r="J32" s="183">
        <f>IF(J19="",0,J19)</f>
        <v>16</v>
      </c>
      <c r="K32" s="183">
        <f>IF(J19="","",1)</f>
        <v>1</v>
      </c>
    </row>
    <row r="33" spans="1:18" s="183" customFormat="1" ht="16.5" hidden="1" customHeight="1">
      <c r="A33" s="187"/>
      <c r="B33" s="187"/>
      <c r="H33" s="183">
        <f>IF(H19="",0,H19)</f>
        <v>10</v>
      </c>
      <c r="I33" s="183">
        <f>IF(H19="","",1)</f>
        <v>1</v>
      </c>
      <c r="J33" s="183">
        <f>IF(J20="",0,J20)</f>
        <v>7</v>
      </c>
      <c r="K33" s="183">
        <f>IF(J20="","",1)</f>
        <v>1</v>
      </c>
    </row>
    <row r="34" spans="1:18" s="183" customFormat="1" ht="16.5" hidden="1" customHeight="1">
      <c r="A34" s="187"/>
      <c r="B34" s="187"/>
      <c r="F34" s="183">
        <f>IF(F18="",0,F18)</f>
        <v>11</v>
      </c>
      <c r="G34" s="183">
        <f>IF(F18="","",1)</f>
        <v>1</v>
      </c>
      <c r="H34" s="183">
        <f>IF(H20="",0,H20)</f>
        <v>5</v>
      </c>
      <c r="I34" s="183">
        <f>IF(H20="","",1)</f>
        <v>1</v>
      </c>
    </row>
    <row r="35" spans="1:18" s="183" customFormat="1" ht="16.5" hidden="1" customHeight="1">
      <c r="A35" s="187"/>
      <c r="B35" s="187"/>
      <c r="F35" s="183">
        <f t="shared" ref="F35:K35" si="0">SUM(F29:F34)</f>
        <v>61</v>
      </c>
      <c r="G35" s="183">
        <f t="shared" si="0"/>
        <v>5</v>
      </c>
      <c r="H35" s="183">
        <f t="shared" si="0"/>
        <v>53</v>
      </c>
      <c r="I35" s="183">
        <f t="shared" si="0"/>
        <v>5</v>
      </c>
      <c r="J35" s="183">
        <f t="shared" si="0"/>
        <v>58</v>
      </c>
      <c r="K35" s="183">
        <f t="shared" si="0"/>
        <v>5</v>
      </c>
    </row>
    <row r="36" spans="1:18" s="183" customFormat="1" ht="16.5" hidden="1" customHeight="1">
      <c r="A36" s="187"/>
      <c r="B36" s="187"/>
    </row>
    <row r="37" spans="1:18" s="183" customFormat="1" ht="16.5" customHeight="1">
      <c r="A37" s="187"/>
      <c r="B37" s="187"/>
      <c r="E37" s="182"/>
      <c r="F37" s="182"/>
      <c r="G37" s="182"/>
      <c r="H37" s="182"/>
      <c r="I37" s="182"/>
      <c r="J37" s="182"/>
      <c r="K37" s="182"/>
      <c r="L37" s="182"/>
    </row>
    <row r="38" spans="1:18" s="182" customFormat="1" ht="16.5" customHeight="1">
      <c r="A38" s="186"/>
      <c r="B38" s="186"/>
      <c r="M38" s="183"/>
      <c r="N38" s="183"/>
      <c r="O38" s="183"/>
      <c r="P38" s="183"/>
      <c r="Q38" s="183"/>
      <c r="R38" s="183"/>
    </row>
    <row r="39" spans="1:18" s="182" customFormat="1">
      <c r="A39" s="186"/>
      <c r="B39" s="186"/>
      <c r="M39" s="183"/>
      <c r="N39" s="183"/>
      <c r="O39" s="183"/>
      <c r="P39" s="183"/>
      <c r="Q39" s="183"/>
      <c r="R39" s="183"/>
    </row>
    <row r="40" spans="1:18">
      <c r="A40" s="7"/>
      <c r="B40" s="7"/>
    </row>
    <row r="41" spans="1:18">
      <c r="A41" s="7"/>
      <c r="B41" s="7"/>
    </row>
    <row r="42" spans="1:18">
      <c r="A42" s="7"/>
      <c r="B42" s="7"/>
    </row>
    <row r="43" spans="1:18">
      <c r="A43" s="7"/>
      <c r="B43" s="7"/>
      <c r="C43" s="7"/>
      <c r="D43" s="7"/>
      <c r="E43" s="8"/>
      <c r="F43" s="8"/>
      <c r="H43" s="7"/>
      <c r="I43" s="82"/>
      <c r="J43" s="7"/>
    </row>
    <row r="44" spans="1:18">
      <c r="A44" s="7"/>
      <c r="B44" s="7"/>
      <c r="C44" s="364"/>
      <c r="D44" s="364"/>
      <c r="E44" s="364"/>
      <c r="F44" s="364"/>
      <c r="G44" s="364"/>
      <c r="H44" s="364"/>
      <c r="I44" s="364"/>
      <c r="J44" s="364"/>
    </row>
    <row r="45" spans="1:18">
      <c r="A45" s="7"/>
      <c r="B45" s="7"/>
      <c r="C45" s="364"/>
      <c r="D45" s="364"/>
      <c r="E45" s="364"/>
      <c r="F45" s="364"/>
      <c r="G45" s="364"/>
      <c r="H45" s="364"/>
      <c r="I45" s="364"/>
      <c r="J45" s="364"/>
    </row>
    <row r="46" spans="1:18">
      <c r="A46" s="7"/>
      <c r="B46" s="7"/>
      <c r="C46" s="364"/>
      <c r="D46" s="364"/>
      <c r="E46" s="364"/>
      <c r="F46" s="364"/>
      <c r="G46" s="364"/>
      <c r="H46" s="364"/>
      <c r="I46" s="364"/>
      <c r="J46" s="364"/>
    </row>
  </sheetData>
  <sheetProtection password="8D61" sheet="1" objects="1" scenarios="1" selectLockedCells="1" selectUnlockedCells="1"/>
  <mergeCells count="20">
    <mergeCell ref="E2:J2"/>
    <mergeCell ref="E4:J4"/>
    <mergeCell ref="C26:L27"/>
    <mergeCell ref="C44:J46"/>
    <mergeCell ref="E5:F5"/>
    <mergeCell ref="G5:H5"/>
    <mergeCell ref="I5:J5"/>
    <mergeCell ref="C6:C21"/>
    <mergeCell ref="D6:D10"/>
    <mergeCell ref="D11:D15"/>
    <mergeCell ref="D17:D21"/>
    <mergeCell ref="G13:G14"/>
    <mergeCell ref="H13:H14"/>
    <mergeCell ref="I8:I9"/>
    <mergeCell ref="J8:J9"/>
    <mergeCell ref="I22:J22"/>
    <mergeCell ref="E18:E19"/>
    <mergeCell ref="F18:F19"/>
    <mergeCell ref="E22:F22"/>
    <mergeCell ref="G22:H22"/>
  </mergeCells>
  <phoneticPr fontId="4" type="noConversion"/>
  <printOptions horizontalCentered="1" verticalCentered="1"/>
  <pageMargins left="0" right="0" top="0" bottom="0" header="0.5" footer="0.5"/>
  <pageSetup orientation="landscape" horizontalDpi="4294967293" r:id="rId1"/>
  <headerFooter alignWithMargins="0">
    <oddHeader>&amp;C&amp;16DUMONT/WILLIS WAIS-IV Computer Template</oddHeader>
    <oddFooter>&amp;LWAIS-IV © The Psychological Corporation All rights reserved &amp;RPage &amp;P  WAIS-IV Template © Dumont - Willis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2</vt:i4>
      </vt:variant>
      <vt:variant>
        <vt:lpstr>Named Ranges</vt:lpstr>
      </vt:variant>
      <vt:variant>
        <vt:i4>34</vt:i4>
      </vt:variant>
    </vt:vector>
  </HeadingPairs>
  <TitlesOfParts>
    <vt:vector size="42" baseType="lpstr">
      <vt:lpstr>Information</vt:lpstr>
      <vt:lpstr>WAIS-IV</vt:lpstr>
      <vt:lpstr>Shares Abilities</vt:lpstr>
      <vt:lpstr>GF-GC</vt:lpstr>
      <vt:lpstr>Ways to Sort</vt:lpstr>
      <vt:lpstr>Cult. &amp; Linq.</vt:lpstr>
      <vt:lpstr>Subtest Graph</vt:lpstr>
      <vt:lpstr>Order of Admin</vt:lpstr>
      <vt:lpstr>AR</vt:lpstr>
      <vt:lpstr>bd</vt:lpstr>
      <vt:lpstr>bdnt</vt:lpstr>
      <vt:lpstr>CA</vt:lpstr>
      <vt:lpstr>CD</vt:lpstr>
      <vt:lpstr>COMP</vt:lpstr>
      <vt:lpstr>compmean</vt:lpstr>
      <vt:lpstr>DS</vt:lpstr>
      <vt:lpstr>dsb</vt:lpstr>
      <vt:lpstr>dsf</vt:lpstr>
      <vt:lpstr>dssq</vt:lpstr>
      <vt:lpstr>fsiq</vt:lpstr>
      <vt:lpstr>FW</vt:lpstr>
      <vt:lpstr>IN</vt:lpstr>
      <vt:lpstr>ldsb</vt:lpstr>
      <vt:lpstr>ldsf</vt:lpstr>
      <vt:lpstr>ldssq</vt:lpstr>
      <vt:lpstr>llns</vt:lpstr>
      <vt:lpstr>lns</vt:lpstr>
      <vt:lpstr>MR</vt:lpstr>
      <vt:lpstr>PCm</vt:lpstr>
      <vt:lpstr>poi</vt:lpstr>
      <vt:lpstr>'Cult. &amp; Linq.'!Print_Area</vt:lpstr>
      <vt:lpstr>'GF-GC'!Print_Area</vt:lpstr>
      <vt:lpstr>'WAIS-IV'!Print_Area</vt:lpstr>
      <vt:lpstr>'Ways to Sort'!Print_Area</vt:lpstr>
      <vt:lpstr>psi</vt:lpstr>
      <vt:lpstr>sim</vt:lpstr>
      <vt:lpstr>SS</vt:lpstr>
      <vt:lpstr>sumsem</vt:lpstr>
      <vt:lpstr>vci</vt:lpstr>
      <vt:lpstr>VOC</vt:lpstr>
      <vt:lpstr>VP</vt:lpstr>
      <vt:lpstr>wmi</vt:lpstr>
    </vt:vector>
  </TitlesOfParts>
  <Company>Plattsburgh State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Dumont</dc:creator>
  <cp:lastModifiedBy>Ron Teffaine</cp:lastModifiedBy>
  <cp:lastPrinted>2009-04-28T18:25:21Z</cp:lastPrinted>
  <dcterms:created xsi:type="dcterms:W3CDTF">1999-06-03T00:12:16Z</dcterms:created>
  <dcterms:modified xsi:type="dcterms:W3CDTF">2010-12-19T08:32:46Z</dcterms:modified>
</cp:coreProperties>
</file>